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codeName="ThisWorkbook" defaultThemeVersion="124226"/>
  <mc:AlternateContent xmlns:mc="http://schemas.openxmlformats.org/markup-compatibility/2006">
    <mc:Choice Requires="x15">
      <x15ac:absPath xmlns:x15ac="http://schemas.microsoft.com/office/spreadsheetml/2010/11/ac" url="/Users/richardjay/Library/Mobile Documents/com~apple~CloudDocs/LBC 2026/"/>
    </mc:Choice>
  </mc:AlternateContent>
  <xr:revisionPtr revIDLastSave="0" documentId="13_ncr:1_{8AE5ED26-2C9C-C94B-80A5-DA41A9B2B549}" xr6:coauthVersionLast="47" xr6:coauthVersionMax="47" xr10:uidLastSave="{00000000-0000-0000-0000-000000000000}"/>
  <bookViews>
    <workbookView xWindow="180" yWindow="600" windowWidth="25720" windowHeight="19960" tabRatio="938" xr2:uid="{00000000-000D-0000-FFFF-FFFF00000000}"/>
  </bookViews>
  <sheets>
    <sheet name="Summary" sheetId="1" r:id="rId1"/>
    <sheet name="Est Bank Balances" sheetId="30" state="hidden" r:id="rId2"/>
    <sheet name="Condensed Summary" sheetId="29" state="hidden" r:id="rId3"/>
    <sheet name="Capital Equipment" sheetId="53" state="hidden" r:id="rId4"/>
    <sheet name="Summary for Committee" sheetId="56" state="hidden" r:id="rId5"/>
    <sheet name="03-05 Subs &amp; Joining Fee" sheetId="2" state="hidden" r:id="rId6"/>
    <sheet name="06 Rink Fees" sheetId="3" state="hidden" r:id="rId7"/>
    <sheet name="07 Home Game Raffles" sheetId="4" state="hidden" r:id="rId8"/>
    <sheet name="08 Bowls Events" sheetId="5" state="hidden" r:id="rId9"/>
    <sheet name="09 Competition Fees" sheetId="34" state="hidden" r:id="rId10"/>
    <sheet name="10 Spring Triples" sheetId="6" state="hidden" r:id="rId11"/>
    <sheet name="11 Green Maintenance" sheetId="7" state="hidden" r:id="rId12"/>
    <sheet name="12 Green Rent" sheetId="25" state="hidden" r:id="rId13"/>
    <sheet name="13 Equip Maintenance &amp; Petrol" sheetId="8" state="hidden" r:id="rId14"/>
    <sheet name="14 New Equipment" sheetId="9" state="hidden" r:id="rId15"/>
    <sheet name="15 Bowls Equipment" sheetId="33" state="hidden" r:id="rId16"/>
    <sheet name="16 Trophies &amp; Prizes" sheetId="10" state="hidden" r:id="rId17"/>
    <sheet name="17 League Fees" sheetId="11" state="hidden" r:id="rId18"/>
    <sheet name="18 Raffle Prizes" sheetId="35" state="hidden" r:id="rId19"/>
    <sheet name="19 Sprinkler System" sheetId="31" state="hidden" r:id="rId20"/>
    <sheet name="20 Annual Dinner" sheetId="36" state="hidden" r:id="rId21"/>
    <sheet name="21 Plant Sale" sheetId="12" state="hidden" r:id="rId22"/>
    <sheet name="22 Quiz Nights" sheetId="27" state="hidden" r:id="rId23"/>
    <sheet name="23 Race Night" sheetId="37" state="hidden" r:id="rId24"/>
    <sheet name="24 Social Events - Other" sheetId="13" state="hidden" r:id="rId25"/>
    <sheet name="25 Sale of Books &amp; Noteletts" sheetId="38" state="hidden" r:id="rId26"/>
    <sheet name="27 LAV" sheetId="39" state="hidden" r:id="rId27"/>
    <sheet name="26 100 Quiz" sheetId="52" state="hidden" r:id="rId28"/>
    <sheet name="28 Insurance" sheetId="32" state="hidden" r:id="rId29"/>
    <sheet name="29 Electricity" sheetId="41" state="hidden" r:id="rId30"/>
    <sheet name="30 Hire of Hall" sheetId="14" state="hidden" r:id="rId31"/>
    <sheet name="31 Security" sheetId="15" state="hidden" r:id="rId32"/>
    <sheet name="32 General Maintenance" sheetId="16" state="hidden" r:id="rId33"/>
    <sheet name="33 Water" sheetId="20" state="hidden" r:id="rId34"/>
    <sheet name="34 Waste Disposal" sheetId="19" state="hidden" r:id="rId35"/>
    <sheet name="35 Marque" sheetId="42" state="hidden" r:id="rId36"/>
    <sheet name="36 General Catering" sheetId="21" state="hidden" r:id="rId37"/>
    <sheet name="37 General Stationery" sheetId="22" state="hidden" r:id="rId38"/>
    <sheet name="38 Website Domain &amp; Hosting" sheetId="23" state="hidden" r:id="rId39"/>
    <sheet name="39 Misc Expenses" sheetId="17" state="hidden" r:id="rId40"/>
    <sheet name="40 Health &amp; Safety" sheetId="46" state="hidden" r:id="rId41"/>
    <sheet name="41 Memorial Benches" sheetId="47" state="hidden" r:id="rId42"/>
    <sheet name="42 Petty Cash" sheetId="48" state="hidden" r:id="rId43"/>
    <sheet name="43 New Tea Room" sheetId="49" state="hidden" r:id="rId44"/>
    <sheet name="43a New Store Building" sheetId="55" state="hidden" r:id="rId45"/>
    <sheet name="44 Bank Charges" sheetId="50" state="hidden" r:id="rId46"/>
    <sheet name="45 Donations" sheetId="45" state="hidden" r:id="rId47"/>
    <sheet name="46 Misc Income" sheetId="44" state="hidden" r:id="rId48"/>
    <sheet name="47 Grants" sheetId="43" state="hidden" r:id="rId49"/>
    <sheet name="48 Charity Event and Donation" sheetId="26" state="hidden" r:id="rId50"/>
    <sheet name="49 Yorkshire Savings" sheetId="54" state="hidden" r:id="rId51"/>
    <sheet name="51 Depreciation" sheetId="24" state="hidden" r:id="rId52"/>
  </sheets>
  <definedNames>
    <definedName name="_xlnm._FilterDatabase" localSheetId="5" hidden="1">'03-05 Subs &amp; Joining Fee'!$A$2:$Z$2</definedName>
    <definedName name="_xlnm._FilterDatabase" localSheetId="11" hidden="1">'11 Green Maintenance'!$A$5:$CH$79</definedName>
    <definedName name="_xlnm._FilterDatabase" localSheetId="24" hidden="1">'24 Social Events - Other'!$Q$2:$Z$86</definedName>
    <definedName name="_xlnm._FilterDatabase" localSheetId="32" hidden="1">'32 General Maintenance'!$A$3:$R$3</definedName>
    <definedName name="_xlnm._FilterDatabase" localSheetId="34" hidden="1">'34 Waste Disposal'!$L$3:$W$39</definedName>
    <definedName name="_xlnm._FilterDatabase" localSheetId="0" hidden="1">Summary!$A$7:$W$119</definedName>
    <definedName name="_xlnm._FilterDatabase" localSheetId="4" hidden="1">'Summary for Committee'!$A$8:$P$121</definedName>
    <definedName name="_MailOriginal" localSheetId="5">'03-05 Subs &amp; Joining Fee'!#REF!</definedName>
    <definedName name="_xlnm.Print_Area" localSheetId="5">'03-05 Subs &amp; Joining Fee'!$B$3:$Z$250</definedName>
    <definedName name="_xlnm.Print_Area" localSheetId="6">'06 Rink Fees'!$B$2:$V$30</definedName>
    <definedName name="_xlnm.Print_Area" localSheetId="7">'07 Home Game Raffles'!$B$2:$R$22</definedName>
    <definedName name="_xlnm.Print_Area" localSheetId="8">'08 Bowls Events'!$B$2:$S$32</definedName>
    <definedName name="_xlnm.Print_Area" localSheetId="9">'09 Competition Fees'!$C$2:$T$27</definedName>
    <definedName name="_xlnm.Print_Area" localSheetId="10">'10 Spring Triples'!$B$2:$AC$15</definedName>
    <definedName name="_xlnm.Print_Area" localSheetId="11">'11 Green Maintenance'!$BF$2:$CH$79</definedName>
    <definedName name="_xlnm.Print_Area" localSheetId="12">'12 Green Rent'!$I$2:$P$7</definedName>
    <definedName name="_xlnm.Print_Area" localSheetId="13">'13 Equip Maintenance &amp; Petrol'!$B$2:$N$16</definedName>
    <definedName name="_xlnm.Print_Area" localSheetId="14">'14 New Equipment'!$B$2:$Q$45</definedName>
    <definedName name="_xlnm.Print_Area" localSheetId="15">'15 Bowls Equipment'!$B$2:$L$17</definedName>
    <definedName name="_xlnm.Print_Area" localSheetId="16">'16 Trophies &amp; Prizes'!$B$2:$P$19</definedName>
    <definedName name="_xlnm.Print_Area" localSheetId="17">'17 League Fees'!$B$2:$R$25</definedName>
    <definedName name="_xlnm.Print_Area" localSheetId="18">'18 Raffle Prizes'!$B$2:$L$19</definedName>
    <definedName name="_xlnm.Print_Area" localSheetId="19">'19 Sprinkler System'!$B$2:$L$14</definedName>
    <definedName name="_xlnm.Print_Area" localSheetId="20">'20 Annual Dinner'!$B$2:$Q$21</definedName>
    <definedName name="_xlnm.Print_Area" localSheetId="21">'21 Plant Sale'!$B$2:$N$26</definedName>
    <definedName name="_xlnm.Print_Area" localSheetId="22">'22 Quiz Nights'!$B$2:$T$25</definedName>
    <definedName name="_xlnm.Print_Area" localSheetId="23">'23 Race Night'!$B$2:$T$34</definedName>
    <definedName name="_xlnm.Print_Area" localSheetId="24">'24 Social Events - Other'!$B$2:$O$47</definedName>
    <definedName name="_xlnm.Print_Area" localSheetId="25">'25 Sale of Books &amp; Noteletts'!$B$2:$P$11</definedName>
    <definedName name="_xlnm.Print_Area" localSheetId="27">'26 100 Quiz'!$B$2:$K$10</definedName>
    <definedName name="_xlnm.Print_Area" localSheetId="26">'27 LAV'!$B$2:$R$7</definedName>
    <definedName name="_xlnm.Print_Area" localSheetId="28">'28 Insurance'!$B$2:$D$24</definedName>
    <definedName name="_xlnm.Print_Area" localSheetId="29">'29 Electricity'!$B$2:$I$27</definedName>
    <definedName name="_xlnm.Print_Area" localSheetId="30">'30 Hire of Hall'!$B$2:$Z$22</definedName>
    <definedName name="_xlnm.Print_Area" localSheetId="31">'31 Security'!$B$2:$O$26</definedName>
    <definedName name="_xlnm.Print_Area" localSheetId="32">'32 General Maintenance'!$B$2:$R$109</definedName>
    <definedName name="_xlnm.Print_Area" localSheetId="33">'33 Water'!$B$2:$O$17</definedName>
    <definedName name="_xlnm.Print_Area" localSheetId="34">'34 Waste Disposal'!$B$2:$AI$37</definedName>
    <definedName name="_xlnm.Print_Area" localSheetId="35">'35 Marque'!$B$2:$K$13</definedName>
    <definedName name="_xlnm.Print_Area" localSheetId="36">'36 General Catering'!$B$2:$O$46</definedName>
    <definedName name="_xlnm.Print_Area" localSheetId="37">'37 General Stationery'!$B$2:$N$26</definedName>
    <definedName name="_xlnm.Print_Area" localSheetId="38">'38 Website Domain &amp; Hosting'!$B$2:$O$18</definedName>
    <definedName name="_xlnm.Print_Area" localSheetId="39">'39 Misc Expenses'!$B$2:$O$38</definedName>
    <definedName name="_xlnm.Print_Area" localSheetId="40">'40 Health &amp; Safety'!$B$2:$J$12</definedName>
    <definedName name="_xlnm.Print_Area" localSheetId="41">'41 Memorial Benches'!$B$2:$Q$29</definedName>
    <definedName name="_xlnm.Print_Area" localSheetId="42">'42 Petty Cash'!$B$2:$J$15</definedName>
    <definedName name="_xlnm.Print_Area" localSheetId="43">'43 New Tea Room'!$B$2:$J$12</definedName>
    <definedName name="_xlnm.Print_Area" localSheetId="44">'43a New Store Building'!$B$2:$J$10</definedName>
    <definedName name="_xlnm.Print_Area" localSheetId="45">'44 Bank Charges'!$B$2:$F$10</definedName>
    <definedName name="_xlnm.Print_Area" localSheetId="46">'45 Donations'!$B$2:$J$57</definedName>
    <definedName name="_xlnm.Print_Area" localSheetId="47">'46 Misc Income'!$B$2:$J$8</definedName>
    <definedName name="_xlnm.Print_Area" localSheetId="48">'47 Grants'!$B$2:$J$10</definedName>
    <definedName name="_xlnm.Print_Area" localSheetId="49">'48 Charity Event and Donation'!$B$2:$J$11</definedName>
    <definedName name="_xlnm.Print_Area" localSheetId="50">'49 Yorkshire Savings'!$B$2:$J$12</definedName>
    <definedName name="_xlnm.Print_Area" localSheetId="51">'51 Depreciation'!$B$3:$W$45</definedName>
    <definedName name="_xlnm.Print_Area" localSheetId="3">'Capital Equipment'!$B$2:$J$31</definedName>
    <definedName name="_xlnm.Print_Area" localSheetId="2">'Condensed Summary'!$B$3:$K$52</definedName>
    <definedName name="_xlnm.Print_Area" localSheetId="1">'Est Bank Balances'!$B$4:$F$18</definedName>
    <definedName name="_xlnm.Print_Area" localSheetId="0">Summary!$B$3:$X$119</definedName>
    <definedName name="_xlnm.Print_Area" localSheetId="4">'Summary for Committee'!$I$3:$R$116</definedName>
    <definedName name="_xlnm.Print_Titles" localSheetId="5">'03-05 Subs &amp; Joining Fee'!$3:$5</definedName>
    <definedName name="_xlnm.Print_Titles" localSheetId="0">Summary!$3:$9</definedName>
    <definedName name="_xlnm.Print_Titles" localSheetId="4">'Summary for Committee'!$3:$8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05" i="1" l="1"/>
  <c r="U118" i="1" s="1"/>
  <c r="U87" i="1"/>
  <c r="U116" i="1" s="1"/>
  <c r="U74" i="1"/>
  <c r="U115" i="1" s="1"/>
  <c r="U65" i="1"/>
  <c r="U45" i="1"/>
  <c r="U113" i="1" s="1"/>
  <c r="U33" i="1"/>
  <c r="U21" i="1"/>
  <c r="R105" i="1"/>
  <c r="R118" i="1" s="1"/>
  <c r="R87" i="1"/>
  <c r="R116" i="1" s="1"/>
  <c r="R74" i="1"/>
  <c r="R115" i="1" s="1"/>
  <c r="R65" i="1"/>
  <c r="R45" i="1"/>
  <c r="R113" i="1" s="1"/>
  <c r="R33" i="1"/>
  <c r="R112" i="1" s="1"/>
  <c r="R21" i="1"/>
  <c r="U114" i="1" l="1"/>
  <c r="U66" i="1"/>
  <c r="U34" i="1"/>
  <c r="U112" i="1"/>
  <c r="U88" i="1"/>
  <c r="U107" i="1" s="1"/>
  <c r="U111" i="1"/>
  <c r="R66" i="1"/>
  <c r="R114" i="1"/>
  <c r="R34" i="1"/>
  <c r="R111" i="1"/>
  <c r="R88" i="1"/>
  <c r="R107" i="1" s="1"/>
  <c r="L26" i="22"/>
  <c r="C12" i="46"/>
  <c r="D12" i="46"/>
  <c r="C13" i="42"/>
  <c r="O7" i="39"/>
  <c r="P7" i="39"/>
  <c r="U13" i="36"/>
  <c r="I8" i="44"/>
  <c r="C12" i="49"/>
  <c r="D12" i="49"/>
  <c r="E12" i="49"/>
  <c r="F12" i="49"/>
  <c r="G12" i="49"/>
  <c r="H12" i="49"/>
  <c r="I12" i="49"/>
  <c r="J12" i="49"/>
  <c r="T17" i="15"/>
  <c r="W25" i="13"/>
  <c r="Z51" i="13"/>
  <c r="Z52" i="13"/>
  <c r="V53" i="13"/>
  <c r="Z54" i="13"/>
  <c r="Z55" i="13"/>
  <c r="V67" i="13"/>
  <c r="X83" i="13"/>
  <c r="X86" i="13" s="1"/>
  <c r="V85" i="13"/>
  <c r="Z50" i="13"/>
  <c r="Z49" i="13"/>
  <c r="Z48" i="13"/>
  <c r="Z47" i="13"/>
  <c r="Z46" i="13"/>
  <c r="Z45" i="13"/>
  <c r="Z44" i="13"/>
  <c r="Z43" i="13"/>
  <c r="Z42" i="13"/>
  <c r="Z41" i="13"/>
  <c r="Z40" i="13"/>
  <c r="Z39" i="13"/>
  <c r="Z38" i="13"/>
  <c r="Z37" i="13"/>
  <c r="Z36" i="13"/>
  <c r="Z35" i="13"/>
  <c r="Z34" i="13"/>
  <c r="Z33" i="13"/>
  <c r="Z32" i="13"/>
  <c r="Z31" i="13"/>
  <c r="Z30" i="13"/>
  <c r="Z29" i="13"/>
  <c r="Z28" i="13"/>
  <c r="Z27" i="13"/>
  <c r="Z26" i="13"/>
  <c r="W24" i="13"/>
  <c r="W23" i="13"/>
  <c r="W22" i="13"/>
  <c r="W21" i="13"/>
  <c r="W20" i="13"/>
  <c r="W19" i="13"/>
  <c r="W18" i="13"/>
  <c r="W17" i="13"/>
  <c r="W16" i="13"/>
  <c r="W15" i="13"/>
  <c r="W13" i="13"/>
  <c r="W12" i="13"/>
  <c r="W11" i="13"/>
  <c r="W10" i="13"/>
  <c r="W9" i="13"/>
  <c r="W8" i="13"/>
  <c r="W7" i="13"/>
  <c r="W6" i="13"/>
  <c r="Y5" i="13"/>
  <c r="Y86" i="13" s="1"/>
  <c r="V14" i="13"/>
  <c r="V4" i="13"/>
  <c r="V3" i="13"/>
  <c r="U2" i="13"/>
  <c r="U56" i="13"/>
  <c r="U57" i="13"/>
  <c r="U58" i="13"/>
  <c r="U59" i="13"/>
  <c r="U60" i="13"/>
  <c r="U61" i="13"/>
  <c r="U62" i="13"/>
  <c r="U63" i="13"/>
  <c r="U64" i="13"/>
  <c r="U65" i="13"/>
  <c r="U66" i="13"/>
  <c r="U68" i="13"/>
  <c r="U69" i="13"/>
  <c r="U70" i="13"/>
  <c r="U71" i="13"/>
  <c r="U72" i="13"/>
  <c r="U73" i="13"/>
  <c r="U74" i="13"/>
  <c r="U75" i="13"/>
  <c r="U76" i="13"/>
  <c r="U77" i="13"/>
  <c r="U78" i="13"/>
  <c r="U79" i="13"/>
  <c r="U80" i="13"/>
  <c r="U81" i="13"/>
  <c r="U82" i="13"/>
  <c r="U84" i="13"/>
  <c r="Y249" i="2"/>
  <c r="Q105" i="1"/>
  <c r="J13" i="42"/>
  <c r="I12" i="46"/>
  <c r="I10" i="48"/>
  <c r="R117" i="1" l="1"/>
  <c r="R119" i="1" s="1"/>
  <c r="U117" i="1"/>
  <c r="U119" i="1" s="1"/>
  <c r="W86" i="13"/>
  <c r="Z86" i="13"/>
  <c r="U86" i="13"/>
  <c r="V86" i="13"/>
  <c r="E19" i="24"/>
  <c r="I12" i="54"/>
  <c r="O9" i="54"/>
  <c r="I57" i="45"/>
  <c r="O52" i="45"/>
  <c r="K8" i="50"/>
  <c r="E10" i="50"/>
  <c r="H10" i="55"/>
  <c r="I10" i="55"/>
  <c r="O29" i="47"/>
  <c r="P29" i="47"/>
  <c r="U24" i="47"/>
  <c r="O38" i="17"/>
  <c r="M38" i="17"/>
  <c r="N38" i="17"/>
  <c r="L38" i="17"/>
  <c r="T36" i="17"/>
  <c r="N18" i="23" l="1"/>
  <c r="T11" i="23"/>
  <c r="M26" i="22"/>
  <c r="S21" i="22"/>
  <c r="O46" i="21"/>
  <c r="T45" i="21"/>
  <c r="N46" i="21"/>
  <c r="L46" i="21"/>
  <c r="M46" i="21"/>
  <c r="AF37" i="19"/>
  <c r="AG37" i="19"/>
  <c r="AH37" i="19"/>
  <c r="AI37" i="19"/>
  <c r="AN31" i="19"/>
  <c r="N17" i="20"/>
  <c r="Q109" i="16"/>
  <c r="N26" i="15"/>
  <c r="X22" i="14"/>
  <c r="N20" i="41"/>
  <c r="J10" i="52"/>
  <c r="Q7" i="39"/>
  <c r="O11" i="38"/>
  <c r="T86" i="13"/>
  <c r="L13" i="13"/>
  <c r="M13" i="13"/>
  <c r="N13" i="13"/>
  <c r="O13" i="13"/>
  <c r="L20" i="13"/>
  <c r="M20" i="13"/>
  <c r="N20" i="13"/>
  <c r="L26" i="13"/>
  <c r="M26" i="13"/>
  <c r="N26" i="13"/>
  <c r="L32" i="13"/>
  <c r="M32" i="13"/>
  <c r="N32" i="13"/>
  <c r="L39" i="13"/>
  <c r="M39" i="13"/>
  <c r="N39" i="13"/>
  <c r="O39" i="13"/>
  <c r="L45" i="13"/>
  <c r="M45" i="13"/>
  <c r="N45" i="13"/>
  <c r="O45" i="13"/>
  <c r="Y31" i="37"/>
  <c r="R22" i="37"/>
  <c r="S22" i="37"/>
  <c r="T22" i="37"/>
  <c r="S31" i="37"/>
  <c r="S25" i="27"/>
  <c r="Y16" i="27"/>
  <c r="N18" i="12"/>
  <c r="S33" i="12"/>
  <c r="M18" i="12"/>
  <c r="M19" i="12" s="1"/>
  <c r="M24" i="12"/>
  <c r="P21" i="36"/>
  <c r="K14" i="31"/>
  <c r="Q9" i="31"/>
  <c r="K19" i="35"/>
  <c r="Q9" i="35"/>
  <c r="Q17" i="11"/>
  <c r="Q25" i="11" s="1"/>
  <c r="W14" i="11"/>
  <c r="O19" i="10"/>
  <c r="T10" i="10"/>
  <c r="K17" i="33"/>
  <c r="Q15" i="33"/>
  <c r="R11" i="8"/>
  <c r="O7" i="25"/>
  <c r="BH61" i="7"/>
  <c r="CG62" i="7"/>
  <c r="CG79" i="7" s="1"/>
  <c r="AA15" i="6"/>
  <c r="AH18" i="6"/>
  <c r="S27" i="34"/>
  <c r="R32" i="5"/>
  <c r="T256" i="2"/>
  <c r="Q19" i="4"/>
  <c r="U30" i="3"/>
  <c r="N47" i="13" l="1"/>
  <c r="S34" i="37"/>
  <c r="M26" i="12"/>
  <c r="T272"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1" i="2"/>
  <c r="Z242" i="2"/>
  <c r="Z243" i="2"/>
  <c r="Z244" i="2"/>
  <c r="Z245" i="2"/>
  <c r="Z246" i="2"/>
  <c r="Z247" i="2"/>
  <c r="Z248" i="2"/>
  <c r="Z138" i="2"/>
  <c r="T249" i="2"/>
  <c r="S249" i="2"/>
  <c r="R249" i="2"/>
  <c r="Q249" i="2"/>
  <c r="P105" i="1"/>
  <c r="P118" i="1" s="1"/>
  <c r="P87" i="1"/>
  <c r="P116" i="1" s="1"/>
  <c r="P74" i="1"/>
  <c r="P115" i="1" s="1"/>
  <c r="P65" i="1"/>
  <c r="P114" i="1" s="1"/>
  <c r="P45" i="1"/>
  <c r="P33" i="1"/>
  <c r="P21" i="1"/>
  <c r="P111" i="1" s="1"/>
  <c r="Q250" i="2" l="1"/>
  <c r="P66" i="1"/>
  <c r="P34" i="1"/>
  <c r="P88" i="1"/>
  <c r="P107" i="1" s="1"/>
  <c r="P112" i="1"/>
  <c r="P113" i="1"/>
  <c r="J11" i="26"/>
  <c r="J7" i="26"/>
  <c r="Z249" i="2"/>
  <c r="X249" i="2"/>
  <c r="W249" i="2"/>
  <c r="V249"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3" i="2"/>
  <c r="P194" i="2"/>
  <c r="P195" i="2"/>
  <c r="P196" i="2"/>
  <c r="P197" i="2"/>
  <c r="P198" i="2"/>
  <c r="P199" i="2"/>
  <c r="P200" i="2"/>
  <c r="P201" i="2"/>
  <c r="P202" i="2"/>
  <c r="P203" i="2"/>
  <c r="P204" i="2"/>
  <c r="P205" i="2"/>
  <c r="P206" i="2"/>
  <c r="P207" i="2"/>
  <c r="P208"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6" i="2"/>
  <c r="P247" i="2"/>
  <c r="P248" i="2"/>
  <c r="P138" i="2"/>
  <c r="M249" i="2"/>
  <c r="N249" i="2"/>
  <c r="O249" i="2"/>
  <c r="L249" i="2"/>
  <c r="N130" i="2"/>
  <c r="P249" i="2" l="1"/>
  <c r="P117" i="1"/>
  <c r="P119" i="1" s="1"/>
  <c r="Q74" i="1"/>
  <c r="O105" i="1"/>
  <c r="O118" i="1" s="1"/>
  <c r="O87" i="1"/>
  <c r="O116" i="1" s="1"/>
  <c r="O74" i="1"/>
  <c r="O115" i="1" s="1"/>
  <c r="O65" i="1"/>
  <c r="O114" i="1" s="1"/>
  <c r="O45" i="1"/>
  <c r="O113" i="1" s="1"/>
  <c r="O33" i="1"/>
  <c r="O21" i="1"/>
  <c r="O111" i="1" s="1"/>
  <c r="V20" i="24"/>
  <c r="V23" i="24"/>
  <c r="V25" i="24" s="1"/>
  <c r="Q44" i="24"/>
  <c r="R44" i="24" s="1"/>
  <c r="S44" i="24" s="1"/>
  <c r="T44" i="24" s="1"/>
  <c r="U44" i="24" s="1"/>
  <c r="L43" i="24"/>
  <c r="M43" i="24" s="1"/>
  <c r="N43" i="24" s="1"/>
  <c r="O43" i="24" s="1"/>
  <c r="P43" i="24" s="1"/>
  <c r="Q43" i="24" s="1"/>
  <c r="R43" i="24" s="1"/>
  <c r="S43" i="24" s="1"/>
  <c r="T43" i="24" s="1"/>
  <c r="U43" i="24" s="1"/>
  <c r="V43" i="24" s="1"/>
  <c r="W43" i="24" s="1"/>
  <c r="X43" i="24" s="1"/>
  <c r="Y43" i="24" s="1"/>
  <c r="Y42" i="24"/>
  <c r="X42" i="24"/>
  <c r="E42" i="24"/>
  <c r="D42" i="24"/>
  <c r="D45" i="24" s="1"/>
  <c r="S41" i="24"/>
  <c r="T41" i="24" s="1"/>
  <c r="U41" i="24" s="1"/>
  <c r="V41" i="24" s="1"/>
  <c r="R40" i="24"/>
  <c r="S40" i="24" s="1"/>
  <c r="T40" i="24" s="1"/>
  <c r="U40" i="24" s="1"/>
  <c r="V40" i="24" s="1"/>
  <c r="O38" i="24"/>
  <c r="P38" i="24" s="1"/>
  <c r="Q38" i="24" s="1"/>
  <c r="R38" i="24" s="1"/>
  <c r="S38" i="24" s="1"/>
  <c r="T38" i="24" s="1"/>
  <c r="U38" i="24" s="1"/>
  <c r="V38" i="24" s="1"/>
  <c r="W38" i="24" s="1"/>
  <c r="O37" i="24"/>
  <c r="P37" i="24" s="1"/>
  <c r="Q37" i="24" s="1"/>
  <c r="R37" i="24" s="1"/>
  <c r="S37" i="24" s="1"/>
  <c r="T37" i="24" s="1"/>
  <c r="M37" i="24"/>
  <c r="O35" i="24"/>
  <c r="P35" i="24" s="1"/>
  <c r="N34" i="24"/>
  <c r="O34" i="24" s="1"/>
  <c r="P34" i="24" s="1"/>
  <c r="Q34" i="24" s="1"/>
  <c r="R34" i="24" s="1"/>
  <c r="M34" i="24"/>
  <c r="N33" i="24"/>
  <c r="O33" i="24" s="1"/>
  <c r="P33" i="24" s="1"/>
  <c r="Q33" i="24" s="1"/>
  <c r="R33" i="24" s="1"/>
  <c r="M33" i="24"/>
  <c r="L32" i="24"/>
  <c r="M32" i="24" s="1"/>
  <c r="N32" i="24" s="1"/>
  <c r="O32" i="24" s="1"/>
  <c r="P32" i="24" s="1"/>
  <c r="Q32" i="24" s="1"/>
  <c r="R32" i="24" s="1"/>
  <c r="K31" i="24"/>
  <c r="L31" i="24" s="1"/>
  <c r="M31" i="24" s="1"/>
  <c r="N31" i="24" s="1"/>
  <c r="O31" i="24" s="1"/>
  <c r="P31" i="24" s="1"/>
  <c r="Q31" i="24" s="1"/>
  <c r="R31" i="24" s="1"/>
  <c r="K30" i="24"/>
  <c r="L30" i="24" s="1"/>
  <c r="M30" i="24" s="1"/>
  <c r="N30" i="24" s="1"/>
  <c r="O30" i="24" s="1"/>
  <c r="P30" i="24" s="1"/>
  <c r="Q30" i="24" s="1"/>
  <c r="R30" i="24" s="1"/>
  <c r="F29" i="24"/>
  <c r="G29" i="24" s="1"/>
  <c r="E24" i="24"/>
  <c r="Y23" i="24"/>
  <c r="X23" i="24"/>
  <c r="W23" i="24"/>
  <c r="U23" i="24"/>
  <c r="T23" i="24"/>
  <c r="S23" i="24"/>
  <c r="R23" i="24"/>
  <c r="Q23" i="24"/>
  <c r="P23" i="24"/>
  <c r="O23" i="24"/>
  <c r="N23" i="24"/>
  <c r="M23" i="24"/>
  <c r="L23" i="24"/>
  <c r="K23" i="24"/>
  <c r="J23" i="24"/>
  <c r="I23" i="24"/>
  <c r="H23" i="24"/>
  <c r="G23" i="24"/>
  <c r="F23" i="24"/>
  <c r="E22" i="24"/>
  <c r="E21" i="24"/>
  <c r="Y20" i="24"/>
  <c r="X20" i="24"/>
  <c r="W20" i="24"/>
  <c r="U20" i="24"/>
  <c r="T20" i="24"/>
  <c r="S20" i="24"/>
  <c r="R20" i="24"/>
  <c r="Q20" i="24"/>
  <c r="O20" i="24"/>
  <c r="N20" i="24"/>
  <c r="M20" i="24"/>
  <c r="L20" i="24"/>
  <c r="K20" i="24"/>
  <c r="J20" i="24"/>
  <c r="I20" i="24"/>
  <c r="H20" i="24"/>
  <c r="G20" i="24"/>
  <c r="F20" i="24"/>
  <c r="D20" i="24"/>
  <c r="D24" i="24" s="1"/>
  <c r="E18" i="24"/>
  <c r="E17" i="24"/>
  <c r="P13" i="24"/>
  <c r="P39" i="24" s="1"/>
  <c r="Q39" i="24" s="1"/>
  <c r="R39" i="24" s="1"/>
  <c r="S39" i="24" s="1"/>
  <c r="T39" i="24" s="1"/>
  <c r="E16" i="24"/>
  <c r="E15" i="24"/>
  <c r="E12" i="24"/>
  <c r="E11" i="24"/>
  <c r="E10" i="24"/>
  <c r="E9" i="24"/>
  <c r="E8" i="24"/>
  <c r="E7" i="24"/>
  <c r="E6" i="24"/>
  <c r="E23" i="24" l="1"/>
  <c r="Q25" i="24"/>
  <c r="U25" i="24"/>
  <c r="M25" i="24"/>
  <c r="N25" i="24"/>
  <c r="I25" i="24"/>
  <c r="J25" i="24"/>
  <c r="O34" i="1"/>
  <c r="O88" i="1"/>
  <c r="O107" i="1" s="1"/>
  <c r="O112" i="1"/>
  <c r="O117" i="1" s="1"/>
  <c r="O119" i="1" s="1"/>
  <c r="O66" i="1"/>
  <c r="F25" i="24"/>
  <c r="P20" i="24"/>
  <c r="P25" i="24" s="1"/>
  <c r="R25" i="24"/>
  <c r="Y25" i="24"/>
  <c r="V44" i="24"/>
  <c r="W44" i="24" s="1"/>
  <c r="X44" i="24" s="1"/>
  <c r="Y44" i="24" s="1"/>
  <c r="Y45" i="24" s="1"/>
  <c r="L25" i="24"/>
  <c r="T25" i="24"/>
  <c r="E13" i="24"/>
  <c r="E20" i="24" s="1"/>
  <c r="E25" i="24" s="1"/>
  <c r="H25" i="24"/>
  <c r="X25" i="24"/>
  <c r="G25" i="24"/>
  <c r="K25" i="24"/>
  <c r="O25" i="24"/>
  <c r="S25" i="24"/>
  <c r="W25" i="24"/>
  <c r="P42" i="24"/>
  <c r="P45" i="24" s="1"/>
  <c r="Q35" i="24"/>
  <c r="H29" i="24"/>
  <c r="G42" i="24"/>
  <c r="G45" i="24" s="1"/>
  <c r="T42" i="24"/>
  <c r="T45" i="24" s="1"/>
  <c r="U37" i="24"/>
  <c r="F42" i="24"/>
  <c r="F45" i="24" s="1"/>
  <c r="X45" i="24" l="1"/>
  <c r="I29" i="24"/>
  <c r="H42" i="24"/>
  <c r="H45" i="24" s="1"/>
  <c r="U42" i="24"/>
  <c r="U45" i="24" s="1"/>
  <c r="V37" i="24"/>
  <c r="Q42" i="24"/>
  <c r="Q45" i="24" s="1"/>
  <c r="R35" i="24"/>
  <c r="V42" i="24" l="1"/>
  <c r="V45" i="24" s="1"/>
  <c r="W37" i="24"/>
  <c r="W42" i="24" s="1"/>
  <c r="W45" i="24" s="1"/>
  <c r="R42" i="24"/>
  <c r="R45" i="24" s="1"/>
  <c r="S35" i="24"/>
  <c r="S42" i="24" s="1"/>
  <c r="S45" i="24" s="1"/>
  <c r="I42" i="24"/>
  <c r="I45" i="24" s="1"/>
  <c r="J29" i="24"/>
  <c r="J42" i="24" l="1"/>
  <c r="J45" i="24" s="1"/>
  <c r="K29" i="24"/>
  <c r="H12" i="54"/>
  <c r="H57" i="45"/>
  <c r="H10" i="43"/>
  <c r="D10" i="50"/>
  <c r="H12" i="46"/>
  <c r="I13" i="42"/>
  <c r="H10" i="48"/>
  <c r="M18" i="23"/>
  <c r="M17" i="20"/>
  <c r="P109" i="16"/>
  <c r="M26" i="15"/>
  <c r="Z22" i="14"/>
  <c r="V22" i="14"/>
  <c r="I10" i="52"/>
  <c r="N11" i="38"/>
  <c r="T31" i="37"/>
  <c r="T34" i="37" s="1"/>
  <c r="R25" i="27"/>
  <c r="L24" i="12"/>
  <c r="L18" i="12"/>
  <c r="L19" i="12" s="1"/>
  <c r="O21" i="36"/>
  <c r="J14" i="31"/>
  <c r="J19" i="35"/>
  <c r="P25" i="11"/>
  <c r="N19" i="10"/>
  <c r="J17" i="33"/>
  <c r="Q27" i="9"/>
  <c r="M16" i="8"/>
  <c r="L16" i="8"/>
  <c r="N7" i="25"/>
  <c r="CF57" i="7"/>
  <c r="CF52" i="7"/>
  <c r="AC15" i="6"/>
  <c r="Q32" i="5"/>
  <c r="R27" i="34"/>
  <c r="P19" i="4"/>
  <c r="V30" i="3"/>
  <c r="Z134" i="2"/>
  <c r="X133" i="2"/>
  <c r="V132" i="2"/>
  <c r="X131" i="2"/>
  <c r="V130" i="2"/>
  <c r="T118" i="1"/>
  <c r="O134" i="2"/>
  <c r="L132" i="2"/>
  <c r="L130" i="2"/>
  <c r="T23" i="3"/>
  <c r="T24" i="3"/>
  <c r="T25" i="3"/>
  <c r="T26" i="3"/>
  <c r="T27" i="3"/>
  <c r="T28" i="3"/>
  <c r="Q30" i="3"/>
  <c r="P30" i="3"/>
  <c r="N30" i="3"/>
  <c r="AB37" i="19"/>
  <c r="AC37" i="19"/>
  <c r="AD37" i="19"/>
  <c r="AE37" i="19"/>
  <c r="H19" i="41"/>
  <c r="N13" i="36"/>
  <c r="M47" i="13" l="1"/>
  <c r="V40" i="1"/>
  <c r="CF79" i="7"/>
  <c r="L29" i="24"/>
  <c r="K42" i="24"/>
  <c r="K45" i="24" s="1"/>
  <c r="L26" i="12"/>
  <c r="V250" i="2"/>
  <c r="T30" i="3"/>
  <c r="M29" i="24" l="1"/>
  <c r="L42" i="24"/>
  <c r="L45" i="24" s="1"/>
  <c r="D45" i="13"/>
  <c r="E45" i="13"/>
  <c r="F45" i="13"/>
  <c r="G45" i="13"/>
  <c r="H45" i="13"/>
  <c r="I45" i="13"/>
  <c r="J45" i="13"/>
  <c r="K45" i="13"/>
  <c r="O26" i="13"/>
  <c r="K26" i="13"/>
  <c r="J26" i="13"/>
  <c r="I26" i="13"/>
  <c r="F26" i="13"/>
  <c r="E26" i="13"/>
  <c r="D26" i="13"/>
  <c r="M42" i="24" l="1"/>
  <c r="M45" i="24" s="1"/>
  <c r="N29" i="24"/>
  <c r="G11" i="26"/>
  <c r="F11" i="26"/>
  <c r="N42" i="24" l="1"/>
  <c r="N45" i="24" s="1"/>
  <c r="O29" i="24"/>
  <c r="CE57" i="7"/>
  <c r="CE52" i="7"/>
  <c r="W12" i="6"/>
  <c r="W15" i="6" s="1"/>
  <c r="J10" i="43"/>
  <c r="D10" i="43"/>
  <c r="E10" i="43"/>
  <c r="F10" i="43"/>
  <c r="G10" i="43"/>
  <c r="C10" i="43"/>
  <c r="G8" i="44"/>
  <c r="H8" i="44"/>
  <c r="J8" i="44"/>
  <c r="D8" i="44"/>
  <c r="E8" i="44"/>
  <c r="F8" i="44"/>
  <c r="C8" i="44"/>
  <c r="J12" i="54"/>
  <c r="D12" i="54"/>
  <c r="E12" i="54"/>
  <c r="F12" i="54"/>
  <c r="G12" i="54"/>
  <c r="C12" i="54"/>
  <c r="J57" i="45"/>
  <c r="G57" i="45"/>
  <c r="D57" i="45"/>
  <c r="E57" i="45"/>
  <c r="F57" i="45"/>
  <c r="C57" i="45"/>
  <c r="F10" i="50"/>
  <c r="C10" i="50"/>
  <c r="J10" i="48"/>
  <c r="D10" i="48"/>
  <c r="E10" i="48"/>
  <c r="F10" i="48"/>
  <c r="G10" i="48"/>
  <c r="C10" i="48"/>
  <c r="J12" i="46"/>
  <c r="E12" i="46"/>
  <c r="F12" i="46"/>
  <c r="G12" i="46"/>
  <c r="J10" i="55"/>
  <c r="D10" i="55"/>
  <c r="E10" i="55"/>
  <c r="F10" i="55"/>
  <c r="G10" i="55"/>
  <c r="C10" i="55"/>
  <c r="O18" i="23"/>
  <c r="E18" i="23"/>
  <c r="F18" i="23"/>
  <c r="G18" i="23"/>
  <c r="H18" i="23"/>
  <c r="I18" i="23"/>
  <c r="J18" i="23"/>
  <c r="K18" i="23"/>
  <c r="L18" i="23"/>
  <c r="D18" i="23"/>
  <c r="O17" i="20"/>
  <c r="E17" i="20"/>
  <c r="F17" i="20"/>
  <c r="G17" i="20"/>
  <c r="H17" i="20"/>
  <c r="I17" i="20"/>
  <c r="J17" i="20"/>
  <c r="K17" i="20"/>
  <c r="L17" i="20"/>
  <c r="D17" i="20"/>
  <c r="R109" i="16"/>
  <c r="M109" i="16"/>
  <c r="N109" i="16"/>
  <c r="O109" i="16"/>
  <c r="L109" i="16"/>
  <c r="K109" i="16"/>
  <c r="O26" i="15"/>
  <c r="E26" i="15"/>
  <c r="F26" i="15"/>
  <c r="G26" i="15"/>
  <c r="H26" i="15"/>
  <c r="I26" i="15"/>
  <c r="J26" i="15"/>
  <c r="K26" i="15"/>
  <c r="L26" i="15"/>
  <c r="D26" i="15"/>
  <c r="T22" i="14"/>
  <c r="R22" i="14"/>
  <c r="P22" i="14"/>
  <c r="K22" i="14"/>
  <c r="I27" i="41"/>
  <c r="D24" i="32"/>
  <c r="K10" i="52"/>
  <c r="D10" i="52"/>
  <c r="E10" i="52"/>
  <c r="F10" i="52"/>
  <c r="G10" i="52"/>
  <c r="H10" i="52"/>
  <c r="C10" i="52"/>
  <c r="R7" i="39"/>
  <c r="D7" i="39"/>
  <c r="E7" i="39"/>
  <c r="F7" i="39"/>
  <c r="G7" i="39"/>
  <c r="H7" i="39"/>
  <c r="I7" i="39"/>
  <c r="J7" i="39"/>
  <c r="K7" i="39"/>
  <c r="L7" i="39"/>
  <c r="M7" i="39"/>
  <c r="N7" i="39"/>
  <c r="C7" i="39"/>
  <c r="P11" i="38"/>
  <c r="D11" i="38"/>
  <c r="E11" i="38"/>
  <c r="F11" i="38"/>
  <c r="G11" i="38"/>
  <c r="H11" i="38"/>
  <c r="I11" i="38"/>
  <c r="J11" i="38"/>
  <c r="K11" i="38"/>
  <c r="L11" i="38"/>
  <c r="M11" i="38"/>
  <c r="C11" i="38"/>
  <c r="Q21" i="36"/>
  <c r="E21" i="36"/>
  <c r="F21" i="36"/>
  <c r="G21" i="36"/>
  <c r="H21" i="36"/>
  <c r="I21" i="36"/>
  <c r="J21" i="36"/>
  <c r="K21" i="36"/>
  <c r="L21" i="36"/>
  <c r="M21" i="36"/>
  <c r="N21" i="36"/>
  <c r="D21" i="36"/>
  <c r="L14" i="31"/>
  <c r="D14" i="31"/>
  <c r="E14" i="31"/>
  <c r="F14" i="31"/>
  <c r="G14" i="31"/>
  <c r="H14" i="31"/>
  <c r="I14" i="31"/>
  <c r="C14" i="31"/>
  <c r="L19" i="35"/>
  <c r="E19" i="35"/>
  <c r="F19" i="35"/>
  <c r="G19" i="35"/>
  <c r="H19" i="35"/>
  <c r="I19" i="35"/>
  <c r="D19" i="35"/>
  <c r="R25" i="11"/>
  <c r="K25" i="11"/>
  <c r="L25" i="11"/>
  <c r="M25" i="11"/>
  <c r="N25" i="11"/>
  <c r="O25" i="11"/>
  <c r="J25" i="11"/>
  <c r="P19" i="10"/>
  <c r="J19" i="10"/>
  <c r="K19" i="10"/>
  <c r="L19" i="10"/>
  <c r="M19" i="10"/>
  <c r="I19" i="10"/>
  <c r="L17" i="33"/>
  <c r="E17" i="33"/>
  <c r="F17" i="33"/>
  <c r="G17" i="33"/>
  <c r="H17" i="33"/>
  <c r="I17" i="33"/>
  <c r="D17" i="33"/>
  <c r="F45" i="9"/>
  <c r="G45" i="9"/>
  <c r="H45" i="9"/>
  <c r="I45" i="9"/>
  <c r="J45" i="9"/>
  <c r="K45" i="9"/>
  <c r="L45" i="9"/>
  <c r="M45" i="9"/>
  <c r="N45" i="9"/>
  <c r="P7" i="25"/>
  <c r="K7" i="25"/>
  <c r="L7" i="25"/>
  <c r="M7" i="25"/>
  <c r="J7" i="25"/>
  <c r="C15" i="6"/>
  <c r="D15" i="6"/>
  <c r="F15" i="6"/>
  <c r="H15" i="6"/>
  <c r="J15" i="6"/>
  <c r="M15" i="6"/>
  <c r="Y15" i="6"/>
  <c r="T27" i="34"/>
  <c r="P27" i="34"/>
  <c r="O27" i="34"/>
  <c r="N27" i="34"/>
  <c r="M27" i="34"/>
  <c r="L27" i="34"/>
  <c r="K27" i="34"/>
  <c r="J27" i="34"/>
  <c r="I27" i="34"/>
  <c r="H27" i="34"/>
  <c r="G27" i="34"/>
  <c r="F27" i="34"/>
  <c r="E27" i="34"/>
  <c r="D27" i="34"/>
  <c r="Q27" i="34"/>
  <c r="N29" i="47"/>
  <c r="H13" i="42"/>
  <c r="K26" i="22"/>
  <c r="L47" i="13"/>
  <c r="P31" i="37"/>
  <c r="P22" i="37"/>
  <c r="Q25" i="27"/>
  <c r="K24" i="12"/>
  <c r="K18" i="12"/>
  <c r="K19" i="12" s="1"/>
  <c r="N27" i="9"/>
  <c r="K16" i="8"/>
  <c r="P32" i="5"/>
  <c r="Q87" i="1"/>
  <c r="Q116" i="1" s="1"/>
  <c r="Q115" i="1"/>
  <c r="Q65" i="1"/>
  <c r="Q45" i="1"/>
  <c r="Q113" i="1" s="1"/>
  <c r="Q33" i="1"/>
  <c r="Q112" i="1" s="1"/>
  <c r="Q21" i="1"/>
  <c r="Q111" i="1" s="1"/>
  <c r="O19" i="4"/>
  <c r="H249" i="2"/>
  <c r="I249" i="2"/>
  <c r="J249" i="2"/>
  <c r="J250" i="2" s="1"/>
  <c r="G249" i="2"/>
  <c r="Q45" i="9"/>
  <c r="L87" i="1"/>
  <c r="L116" i="1" s="1"/>
  <c r="M87" i="1"/>
  <c r="M116" i="1" s="1"/>
  <c r="N87" i="1"/>
  <c r="N116" i="1" s="1"/>
  <c r="Q114" i="1" l="1"/>
  <c r="Q118" i="1"/>
  <c r="P29" i="24"/>
  <c r="Q29" i="24" s="1"/>
  <c r="R29" i="24" s="1"/>
  <c r="O42" i="24"/>
  <c r="O45" i="24" s="1"/>
  <c r="CE79" i="7"/>
  <c r="P34" i="37"/>
  <c r="K26" i="12"/>
  <c r="L250" i="2"/>
  <c r="Q66" i="1"/>
  <c r="Q88" i="1"/>
  <c r="Q34" i="1"/>
  <c r="G250" i="2"/>
  <c r="Q117" i="1" l="1"/>
  <c r="Q119" i="1" s="1"/>
  <c r="Q107" i="1"/>
  <c r="H10" i="41" l="1"/>
  <c r="H11" i="41"/>
  <c r="H12" i="41"/>
  <c r="H13" i="41"/>
  <c r="H15" i="41"/>
  <c r="M29" i="47"/>
  <c r="L29" i="47"/>
  <c r="E250" i="2"/>
  <c r="G13" i="42" l="1"/>
  <c r="F13" i="42"/>
  <c r="K38" i="17"/>
  <c r="J26" i="22"/>
  <c r="K46" i="21"/>
  <c r="K39" i="13"/>
  <c r="K32" i="13"/>
  <c r="K20" i="13"/>
  <c r="K13" i="13"/>
  <c r="P25" i="27"/>
  <c r="K47" i="13" l="1"/>
  <c r="E14" i="12"/>
  <c r="J24" i="12"/>
  <c r="J18" i="12"/>
  <c r="J26" i="12" l="1"/>
  <c r="J19" i="12"/>
  <c r="M27" i="9" l="1"/>
  <c r="L27" i="9"/>
  <c r="J16" i="8"/>
  <c r="CB57" i="7"/>
  <c r="CA57" i="7"/>
  <c r="CB51" i="7"/>
  <c r="CB42" i="7"/>
  <c r="CB41" i="7"/>
  <c r="CB40" i="7"/>
  <c r="CB39" i="7"/>
  <c r="CB38" i="7"/>
  <c r="CB37" i="7"/>
  <c r="CB36" i="7"/>
  <c r="CB35" i="7"/>
  <c r="CB34" i="7"/>
  <c r="CB33" i="7"/>
  <c r="CB32" i="7"/>
  <c r="CB31" i="7"/>
  <c r="CB30" i="7"/>
  <c r="CB29" i="7"/>
  <c r="CB28" i="7"/>
  <c r="CB27" i="7"/>
  <c r="CB26" i="7"/>
  <c r="CB25" i="7"/>
  <c r="CB24" i="7"/>
  <c r="CB23" i="7"/>
  <c r="CB22" i="7"/>
  <c r="CB21" i="7"/>
  <c r="CB19" i="7"/>
  <c r="CB18" i="7"/>
  <c r="CB17" i="7"/>
  <c r="CB15" i="7"/>
  <c r="CB13" i="7"/>
  <c r="CB12" i="7"/>
  <c r="CB11" i="7"/>
  <c r="CB8" i="7"/>
  <c r="V15" i="6"/>
  <c r="O16" i="5"/>
  <c r="O32" i="5" s="1"/>
  <c r="N19" i="4"/>
  <c r="CB52" i="7" l="1"/>
  <c r="CB79" i="7" s="1"/>
  <c r="CA52" i="7"/>
  <c r="CA79" i="7" s="1"/>
  <c r="L30" i="3"/>
  <c r="D249" i="2" l="1"/>
  <c r="C249" i="2"/>
  <c r="C250" i="2" l="1"/>
  <c r="M105" i="1"/>
  <c r="M118" i="1" s="1"/>
  <c r="M74" i="1"/>
  <c r="M115" i="1" s="1"/>
  <c r="M65" i="1"/>
  <c r="M114" i="1" s="1"/>
  <c r="M45" i="1"/>
  <c r="M113" i="1" s="1"/>
  <c r="M33" i="1"/>
  <c r="M112" i="1" s="1"/>
  <c r="M21" i="1"/>
  <c r="M111" i="1" s="1"/>
  <c r="M117" i="1" l="1"/>
  <c r="M119" i="1" s="1"/>
  <c r="M88" i="1"/>
  <c r="M107" i="1" s="1"/>
  <c r="M34" i="1"/>
  <c r="M66" i="1"/>
  <c r="C109" i="16"/>
  <c r="D109" i="16"/>
  <c r="E109" i="16"/>
  <c r="F109" i="16"/>
  <c r="G109" i="16"/>
  <c r="H109" i="16"/>
  <c r="I109" i="16"/>
  <c r="J38" i="17" l="1"/>
  <c r="I26" i="22"/>
  <c r="J46" i="21"/>
  <c r="J39" i="13" l="1"/>
  <c r="J32" i="13"/>
  <c r="J20" i="13"/>
  <c r="J13" i="13"/>
  <c r="M23" i="37"/>
  <c r="M31" i="37" s="1"/>
  <c r="M6" i="37"/>
  <c r="M22" i="37" s="1"/>
  <c r="O25" i="27"/>
  <c r="I18" i="12"/>
  <c r="I24" i="12"/>
  <c r="I16" i="8"/>
  <c r="J47" i="13" l="1"/>
  <c r="I26" i="12"/>
  <c r="M33" i="37"/>
  <c r="I19" i="12"/>
  <c r="CH57" i="7" l="1"/>
  <c r="BX57" i="7"/>
  <c r="CH52" i="7"/>
  <c r="T15" i="6"/>
  <c r="S32" i="5"/>
  <c r="R19" i="4"/>
  <c r="N105" i="1"/>
  <c r="N118" i="1" s="1"/>
  <c r="N74" i="1"/>
  <c r="N115" i="1" s="1"/>
  <c r="N65" i="1"/>
  <c r="N114" i="1" s="1"/>
  <c r="N45" i="1"/>
  <c r="N113" i="1" s="1"/>
  <c r="N33" i="1"/>
  <c r="N112" i="1" s="1"/>
  <c r="N21" i="1"/>
  <c r="N111" i="1" s="1"/>
  <c r="CH79" i="7" l="1"/>
  <c r="N117" i="1"/>
  <c r="N119" i="1" s="1"/>
  <c r="N88" i="1"/>
  <c r="BX52" i="7"/>
  <c r="BX79" i="7" s="1"/>
  <c r="N66" i="1"/>
  <c r="N34" i="1"/>
  <c r="N107" i="1" l="1"/>
  <c r="G87" i="1" l="1"/>
  <c r="H87" i="1"/>
  <c r="I87" i="1"/>
  <c r="J87" i="1"/>
  <c r="K87" i="1"/>
  <c r="F87" i="1"/>
  <c r="D13" i="42" l="1"/>
  <c r="E13" i="42"/>
  <c r="K13" i="42"/>
  <c r="K29" i="47"/>
  <c r="D38" i="17"/>
  <c r="E38" i="17"/>
  <c r="F38" i="17"/>
  <c r="G38" i="17"/>
  <c r="H38" i="17"/>
  <c r="I38" i="17"/>
  <c r="H26" i="22"/>
  <c r="I46" i="21"/>
  <c r="N7" i="14" l="1"/>
  <c r="N12" i="14"/>
  <c r="N10" i="14"/>
  <c r="N11" i="14"/>
  <c r="O32" i="13"/>
  <c r="I32" i="13"/>
  <c r="I39" i="13"/>
  <c r="I20" i="13"/>
  <c r="I13" i="13"/>
  <c r="I47" i="13" l="1"/>
  <c r="N22" i="14"/>
  <c r="K19" i="4" l="1"/>
  <c r="N25" i="27" l="1"/>
  <c r="H24" i="12" l="1"/>
  <c r="H18" i="12"/>
  <c r="H19" i="12" s="1"/>
  <c r="K27" i="9"/>
  <c r="H16" i="8"/>
  <c r="BD52" i="7"/>
  <c r="BU52" i="7"/>
  <c r="BU57" i="7"/>
  <c r="BS57" i="7"/>
  <c r="BR57" i="7"/>
  <c r="BQ57" i="7"/>
  <c r="BP57" i="7"/>
  <c r="BO57" i="7"/>
  <c r="BM56" i="7"/>
  <c r="BM55" i="7"/>
  <c r="BM54" i="7"/>
  <c r="BH54" i="7"/>
  <c r="BS52" i="7"/>
  <c r="BR52" i="7"/>
  <c r="BQ52" i="7"/>
  <c r="BN51" i="7"/>
  <c r="BN42" i="7"/>
  <c r="BN41" i="7"/>
  <c r="BN40" i="7"/>
  <c r="BM36" i="7"/>
  <c r="BN36" i="7" s="1"/>
  <c r="BM35" i="7"/>
  <c r="BN35" i="7" s="1"/>
  <c r="BM34" i="7"/>
  <c r="BN34" i="7" s="1"/>
  <c r="BP33" i="7"/>
  <c r="BP52" i="7" s="1"/>
  <c r="BM32" i="7"/>
  <c r="BN32" i="7" s="1"/>
  <c r="BM31" i="7"/>
  <c r="BN31" i="7" s="1"/>
  <c r="BO30" i="7"/>
  <c r="BO52" i="7" s="1"/>
  <c r="BN30" i="7"/>
  <c r="BM29" i="7"/>
  <c r="BN29" i="7" s="1"/>
  <c r="BH29" i="7"/>
  <c r="BM28" i="7"/>
  <c r="BM27" i="7"/>
  <c r="BH27" i="7"/>
  <c r="BM26" i="7"/>
  <c r="BN26" i="7" s="1"/>
  <c r="BM25" i="7"/>
  <c r="BM24" i="7"/>
  <c r="BM23" i="7"/>
  <c r="BM22" i="7"/>
  <c r="BN22" i="7" s="1"/>
  <c r="BM21" i="7"/>
  <c r="BN21" i="7" s="1"/>
  <c r="BH21" i="7"/>
  <c r="BM19" i="7"/>
  <c r="BN19" i="7" s="1"/>
  <c r="BH19" i="7"/>
  <c r="BM18" i="7"/>
  <c r="BN18" i="7" s="1"/>
  <c r="BH18" i="7"/>
  <c r="BM17" i="7"/>
  <c r="BN17" i="7" s="1"/>
  <c r="BM15" i="7"/>
  <c r="BN15" i="7" s="1"/>
  <c r="BH15" i="7"/>
  <c r="BM13" i="7"/>
  <c r="BM12" i="7"/>
  <c r="BH12" i="7"/>
  <c r="BM11" i="7"/>
  <c r="BN11" i="7" s="1"/>
  <c r="BH11" i="7"/>
  <c r="BM10" i="7"/>
  <c r="BN10" i="7" s="1"/>
  <c r="BM8" i="7"/>
  <c r="H26" i="12" l="1"/>
  <c r="BN12" i="7"/>
  <c r="BM33" i="7"/>
  <c r="BN33" i="7" s="1"/>
  <c r="BM57" i="7"/>
  <c r="BU79" i="7"/>
  <c r="BR79" i="7"/>
  <c r="BS79" i="7"/>
  <c r="BO79" i="7"/>
  <c r="BP79" i="7"/>
  <c r="BQ79" i="7"/>
  <c r="BN8" i="7"/>
  <c r="BH57" i="7"/>
  <c r="BN52" i="7" l="1"/>
  <c r="BN54" i="7"/>
  <c r="BN57" i="7" s="1"/>
  <c r="BM52" i="7"/>
  <c r="BM79" i="7" s="1"/>
  <c r="BN79" i="7" l="1"/>
  <c r="Q6" i="6"/>
  <c r="Q5" i="6"/>
  <c r="Q7" i="6" l="1"/>
  <c r="Q15" i="6" l="1"/>
  <c r="M32" i="5"/>
  <c r="J19" i="4" l="1"/>
  <c r="K27" i="3"/>
  <c r="I30" i="3"/>
  <c r="D74" i="1" l="1"/>
  <c r="E74" i="1"/>
  <c r="F74" i="1"/>
  <c r="G74" i="1"/>
  <c r="H74" i="1"/>
  <c r="I74" i="1"/>
  <c r="J74" i="1"/>
  <c r="K74" i="1"/>
  <c r="K86" i="56"/>
  <c r="J86" i="56"/>
  <c r="L86" i="56"/>
  <c r="L112" i="56" s="1"/>
  <c r="L105" i="1" l="1"/>
  <c r="L118" i="1" s="1"/>
  <c r="L74" i="1"/>
  <c r="L115" i="1" s="1"/>
  <c r="L65" i="1"/>
  <c r="L114" i="1" s="1"/>
  <c r="L21" i="1"/>
  <c r="L111" i="1" s="1"/>
  <c r="L33" i="1"/>
  <c r="L112" i="1" s="1"/>
  <c r="L45" i="1"/>
  <c r="L113" i="1" s="1"/>
  <c r="L75" i="56"/>
  <c r="L102" i="56"/>
  <c r="L115" i="56" s="1"/>
  <c r="L62" i="56"/>
  <c r="L30" i="56"/>
  <c r="L42" i="56"/>
  <c r="L19" i="56"/>
  <c r="L117" i="1" l="1"/>
  <c r="L119" i="1" s="1"/>
  <c r="L88" i="1"/>
  <c r="L107" i="1" s="1"/>
  <c r="L34" i="1"/>
  <c r="L66" i="1"/>
  <c r="L111" i="56"/>
  <c r="L113" i="56"/>
  <c r="L63" i="56"/>
  <c r="L109" i="56"/>
  <c r="L110" i="56"/>
  <c r="L108" i="56"/>
  <c r="L88" i="56"/>
  <c r="L105" i="56" s="1"/>
  <c r="L31" i="56"/>
  <c r="L114" i="56" l="1"/>
  <c r="L116" i="56" l="1"/>
  <c r="Q12" i="56" l="1"/>
  <c r="Q13" i="56"/>
  <c r="Q14" i="56"/>
  <c r="Q15" i="56"/>
  <c r="Q16" i="56"/>
  <c r="Q17" i="56"/>
  <c r="Q18" i="56"/>
  <c r="Q77" i="56"/>
  <c r="Q78" i="56"/>
  <c r="Q79" i="56"/>
  <c r="Q80" i="56"/>
  <c r="Q81" i="56"/>
  <c r="Q82" i="56"/>
  <c r="Q83" i="56"/>
  <c r="Q84" i="56"/>
  <c r="Q85" i="56"/>
  <c r="Q11" i="56"/>
  <c r="K102" i="56"/>
  <c r="K115" i="56" s="1"/>
  <c r="J102" i="56"/>
  <c r="J115" i="56" s="1"/>
  <c r="H102" i="56"/>
  <c r="H109" i="56" s="1"/>
  <c r="G102" i="56"/>
  <c r="G109" i="56" s="1"/>
  <c r="F102" i="56"/>
  <c r="E102" i="56"/>
  <c r="D102" i="56"/>
  <c r="C102" i="56"/>
  <c r="B102" i="56"/>
  <c r="N101" i="56"/>
  <c r="Q101" i="56" s="1"/>
  <c r="N100" i="56"/>
  <c r="Q100" i="56" s="1"/>
  <c r="N99" i="56"/>
  <c r="Q99" i="56" s="1"/>
  <c r="N98" i="56"/>
  <c r="Q98" i="56" s="1"/>
  <c r="N97" i="56"/>
  <c r="Q97" i="56" s="1"/>
  <c r="N96" i="56"/>
  <c r="Q96" i="56" s="1"/>
  <c r="N95" i="56"/>
  <c r="Q95" i="56" s="1"/>
  <c r="N94" i="56"/>
  <c r="Q94" i="56" s="1"/>
  <c r="N93" i="56"/>
  <c r="Q93" i="56" s="1"/>
  <c r="N92" i="56"/>
  <c r="Q92" i="56" s="1"/>
  <c r="N91" i="56"/>
  <c r="Q91" i="56" s="1"/>
  <c r="N90" i="56"/>
  <c r="Q90" i="56" s="1"/>
  <c r="N86" i="56"/>
  <c r="Q86" i="56" s="1"/>
  <c r="Q112" i="56" s="1"/>
  <c r="K112" i="56"/>
  <c r="J112" i="56"/>
  <c r="H86" i="56"/>
  <c r="G86" i="56"/>
  <c r="F86" i="56"/>
  <c r="E86" i="56"/>
  <c r="K75" i="56"/>
  <c r="K113" i="56" s="1"/>
  <c r="J75" i="56"/>
  <c r="J113" i="56" s="1"/>
  <c r="H75" i="56"/>
  <c r="G75" i="56"/>
  <c r="F75" i="56"/>
  <c r="E75" i="56"/>
  <c r="D75" i="56"/>
  <c r="C75" i="56"/>
  <c r="B75" i="56"/>
  <c r="N73" i="56"/>
  <c r="Q73" i="56" s="1"/>
  <c r="N72" i="56"/>
  <c r="Q72" i="56" s="1"/>
  <c r="N71" i="56"/>
  <c r="Q71" i="56" s="1"/>
  <c r="N70" i="56"/>
  <c r="Q70" i="56" s="1"/>
  <c r="N69" i="56"/>
  <c r="Q69" i="56" s="1"/>
  <c r="N68" i="56"/>
  <c r="Q68" i="56" s="1"/>
  <c r="N67" i="56"/>
  <c r="Q67" i="56" s="1"/>
  <c r="K62" i="56"/>
  <c r="J62" i="56"/>
  <c r="H62" i="56"/>
  <c r="G62" i="56"/>
  <c r="F62" i="56"/>
  <c r="E62" i="56"/>
  <c r="D62" i="56"/>
  <c r="C62" i="56"/>
  <c r="B62" i="56"/>
  <c r="N61" i="56"/>
  <c r="Q61" i="56" s="1"/>
  <c r="N57" i="56"/>
  <c r="N56" i="56"/>
  <c r="N60" i="56"/>
  <c r="N59" i="56"/>
  <c r="N45" i="56"/>
  <c r="Q45" i="56" s="1"/>
  <c r="N44" i="56"/>
  <c r="Q44" i="56" s="1"/>
  <c r="K42" i="56"/>
  <c r="K110" i="56" s="1"/>
  <c r="J42" i="56"/>
  <c r="J110" i="56" s="1"/>
  <c r="H42" i="56"/>
  <c r="G42" i="56"/>
  <c r="F42" i="56"/>
  <c r="E42" i="56"/>
  <c r="D42" i="56"/>
  <c r="C42" i="56"/>
  <c r="B42" i="56"/>
  <c r="N41" i="56"/>
  <c r="Q41" i="56" s="1"/>
  <c r="N40" i="56"/>
  <c r="Q40" i="56" s="1"/>
  <c r="N39" i="56"/>
  <c r="Q39" i="56" s="1"/>
  <c r="N34" i="56"/>
  <c r="Q34" i="56" s="1"/>
  <c r="K30" i="56"/>
  <c r="J30" i="56"/>
  <c r="J109" i="56" s="1"/>
  <c r="H30" i="56"/>
  <c r="G30" i="56"/>
  <c r="F30" i="56"/>
  <c r="E27" i="56"/>
  <c r="E30" i="56" s="1"/>
  <c r="D27" i="56"/>
  <c r="D30" i="56" s="1"/>
  <c r="C27" i="56"/>
  <c r="C30" i="56" s="1"/>
  <c r="B27" i="56"/>
  <c r="B30" i="56" s="1"/>
  <c r="N24" i="56"/>
  <c r="Q24" i="56" s="1"/>
  <c r="N22" i="56"/>
  <c r="Q22" i="56" s="1"/>
  <c r="N21" i="56"/>
  <c r="Q21" i="56" s="1"/>
  <c r="K19" i="56"/>
  <c r="J19" i="56"/>
  <c r="H19" i="56"/>
  <c r="G19" i="56"/>
  <c r="F19" i="56"/>
  <c r="E19" i="56"/>
  <c r="D19" i="56"/>
  <c r="C19" i="56"/>
  <c r="B19" i="56"/>
  <c r="Q56" i="56" l="1"/>
  <c r="Q57" i="56"/>
  <c r="B31" i="56"/>
  <c r="E63" i="56"/>
  <c r="J63" i="56"/>
  <c r="F31" i="56"/>
  <c r="K31" i="56"/>
  <c r="J88" i="56"/>
  <c r="J105" i="56" s="1"/>
  <c r="C88" i="56"/>
  <c r="C105" i="56" s="1"/>
  <c r="B88" i="56"/>
  <c r="B105" i="56" s="1"/>
  <c r="F88" i="56"/>
  <c r="F105" i="56" s="1"/>
  <c r="K88" i="56"/>
  <c r="K105" i="56" s="1"/>
  <c r="G31" i="56"/>
  <c r="J31" i="56"/>
  <c r="B63" i="56"/>
  <c r="F63" i="56"/>
  <c r="K63" i="56"/>
  <c r="K108" i="56"/>
  <c r="D31" i="56"/>
  <c r="H31" i="56"/>
  <c r="C63" i="56"/>
  <c r="G63" i="56"/>
  <c r="J111" i="56"/>
  <c r="J108" i="56"/>
  <c r="H88" i="56"/>
  <c r="H105" i="56" s="1"/>
  <c r="E31" i="56"/>
  <c r="D63" i="56"/>
  <c r="H63" i="56"/>
  <c r="N102" i="56"/>
  <c r="K109" i="56"/>
  <c r="K111" i="56"/>
  <c r="N75" i="56"/>
  <c r="N19" i="56"/>
  <c r="D88" i="56"/>
  <c r="D105" i="56" s="1"/>
  <c r="E88" i="56"/>
  <c r="E105" i="56" s="1"/>
  <c r="G88" i="56"/>
  <c r="G105" i="56" s="1"/>
  <c r="C31" i="56"/>
  <c r="N108" i="56" l="1"/>
  <c r="Q19" i="56"/>
  <c r="Q108" i="56" s="1"/>
  <c r="N115" i="56"/>
  <c r="Q115" i="56" s="1"/>
  <c r="Q102" i="56"/>
  <c r="N113" i="56"/>
  <c r="Q75" i="56"/>
  <c r="Q113" i="56" s="1"/>
  <c r="G108" i="56"/>
  <c r="G110" i="56" s="1"/>
  <c r="J114" i="56"/>
  <c r="J116" i="56" s="1"/>
  <c r="F115" i="56" s="1"/>
  <c r="H108" i="56"/>
  <c r="K114" i="56"/>
  <c r="K116" i="56" s="1"/>
  <c r="AZ23" i="7"/>
  <c r="AZ54" i="7"/>
  <c r="AZ10" i="7"/>
  <c r="AZ36" i="7"/>
  <c r="AZ52" i="7"/>
  <c r="AZ53" i="7"/>
  <c r="AZ11" i="7"/>
  <c r="AZ24" i="7"/>
  <c r="AZ31" i="7"/>
  <c r="AZ40" i="7"/>
  <c r="AZ35" i="7"/>
  <c r="AZ34" i="7"/>
  <c r="AZ26" i="7"/>
  <c r="AZ42" i="7"/>
  <c r="G119" i="56" l="1"/>
  <c r="G121" i="56" s="1"/>
  <c r="H112" i="56" s="1"/>
  <c r="H110" i="56"/>
  <c r="H119" i="56"/>
  <c r="V87" i="1"/>
  <c r="V116" i="1" l="1"/>
  <c r="H121" i="56"/>
  <c r="J29" i="47"/>
  <c r="G12" i="22"/>
  <c r="G26" i="22" s="1"/>
  <c r="Q59" i="56" l="1"/>
  <c r="Q60" i="56"/>
  <c r="H10" i="21"/>
  <c r="H46" i="21" s="1"/>
  <c r="N51" i="56"/>
  <c r="G46" i="21"/>
  <c r="F46" i="21"/>
  <c r="E46" i="21"/>
  <c r="D46" i="21"/>
  <c r="C46" i="21"/>
  <c r="Q51" i="56" l="1"/>
  <c r="N48" i="56" l="1"/>
  <c r="Q48" i="56" l="1"/>
  <c r="N47" i="56"/>
  <c r="Q47" i="56" s="1"/>
  <c r="H39" i="13" l="1"/>
  <c r="H20" i="13"/>
  <c r="H13" i="13"/>
  <c r="I31" i="37"/>
  <c r="I8" i="37"/>
  <c r="I22" i="37" s="1"/>
  <c r="H8" i="37"/>
  <c r="H47" i="13" l="1"/>
  <c r="I33" i="37"/>
  <c r="I34" i="37" s="1"/>
  <c r="L25" i="27" l="1"/>
  <c r="G24" i="12" l="1"/>
  <c r="G18" i="12"/>
  <c r="G19" i="12" s="1"/>
  <c r="G26" i="12" l="1"/>
  <c r="F27" i="9" l="1"/>
  <c r="G27" i="9"/>
  <c r="H27" i="9"/>
  <c r="I27" i="9"/>
  <c r="J27" i="9"/>
  <c r="G16" i="8"/>
  <c r="O6" i="6"/>
  <c r="O7" i="6"/>
  <c r="O5" i="6"/>
  <c r="O15" i="6" l="1"/>
  <c r="L32" i="5"/>
  <c r="I19" i="4"/>
  <c r="H30" i="3"/>
  <c r="F20" i="53" l="1"/>
  <c r="G20" i="53" s="1"/>
  <c r="H20" i="53" s="1"/>
  <c r="I20" i="53" s="1"/>
  <c r="J20" i="53" s="1"/>
  <c r="K105" i="1" l="1"/>
  <c r="K65" i="1"/>
  <c r="K45" i="1"/>
  <c r="K33" i="1"/>
  <c r="K21" i="1"/>
  <c r="K66" i="1" l="1"/>
  <c r="K88" i="1"/>
  <c r="K107" i="1" s="1"/>
  <c r="K34" i="1"/>
  <c r="E29" i="47" l="1"/>
  <c r="F29" i="47"/>
  <c r="H29" i="47" l="1"/>
  <c r="I29" i="47"/>
  <c r="E29" i="53" l="1"/>
  <c r="D29" i="53"/>
  <c r="D31" i="53" s="1"/>
  <c r="F29" i="53"/>
  <c r="F31" i="53" s="1"/>
  <c r="J15" i="53"/>
  <c r="J16" i="53" s="1"/>
  <c r="I15" i="53"/>
  <c r="I16" i="53" s="1"/>
  <c r="H15" i="53"/>
  <c r="H16" i="53" s="1"/>
  <c r="G15" i="53"/>
  <c r="G16" i="53" s="1"/>
  <c r="F15" i="53"/>
  <c r="F16" i="53" s="1"/>
  <c r="D15" i="53"/>
  <c r="D16" i="53" s="1"/>
  <c r="E15" i="53"/>
  <c r="E16" i="53" s="1"/>
  <c r="G29" i="53" l="1"/>
  <c r="G31" i="53" s="1"/>
  <c r="V74" i="1" l="1"/>
  <c r="V115" i="1" l="1"/>
  <c r="H29" i="53"/>
  <c r="H31" i="53" s="1"/>
  <c r="I29" i="53"/>
  <c r="I31" i="53" s="1"/>
  <c r="J29" i="53" l="1"/>
  <c r="J31" i="53" s="1"/>
  <c r="AU78" i="7"/>
  <c r="AU56" i="7"/>
  <c r="AU54" i="7"/>
  <c r="AU53" i="7"/>
  <c r="AU52" i="7"/>
  <c r="AU42" i="7"/>
  <c r="AU40" i="7"/>
  <c r="AU36" i="7"/>
  <c r="AU35" i="7"/>
  <c r="AU25" i="7"/>
  <c r="AU11" i="7"/>
  <c r="AU10" i="7"/>
  <c r="V44" i="1" l="1"/>
  <c r="C26" i="22"/>
  <c r="D26" i="22"/>
  <c r="E26" i="22"/>
  <c r="F26" i="22"/>
  <c r="N26" i="22"/>
  <c r="N52" i="56" l="1"/>
  <c r="Q52" i="56" s="1"/>
  <c r="V37" i="1"/>
  <c r="F7" i="30" l="1"/>
  <c r="Q29" i="47"/>
  <c r="G29" i="47"/>
  <c r="N55" i="56" l="1"/>
  <c r="Q55" i="56" s="1"/>
  <c r="N54" i="56"/>
  <c r="Q54" i="56" s="1"/>
  <c r="N53" i="56" l="1"/>
  <c r="Q53" i="56" s="1"/>
  <c r="N50" i="56" l="1"/>
  <c r="Q50" i="56" s="1"/>
  <c r="N49" i="56" l="1"/>
  <c r="J5" i="16"/>
  <c r="J109" i="16" s="1"/>
  <c r="Q49" i="56" l="1"/>
  <c r="F7" i="14" l="1"/>
  <c r="V43" i="1" l="1"/>
  <c r="V42" i="1"/>
  <c r="O20" i="13"/>
  <c r="O47" i="13" s="1"/>
  <c r="N38" i="56" l="1"/>
  <c r="Q38" i="56" s="1"/>
  <c r="G20" i="13"/>
  <c r="G39" i="13"/>
  <c r="V41" i="1" l="1"/>
  <c r="D31" i="37"/>
  <c r="D22" i="37"/>
  <c r="R31" i="37"/>
  <c r="R34" i="37" l="1"/>
  <c r="N37" i="56" s="1"/>
  <c r="Q37" i="56" s="1"/>
  <c r="D33" i="37"/>
  <c r="D34" i="37" s="1"/>
  <c r="T25" i="27"/>
  <c r="N36" i="56" l="1"/>
  <c r="Q36" i="56" s="1"/>
  <c r="V39" i="1"/>
  <c r="N24" i="12" l="1"/>
  <c r="F24" i="12"/>
  <c r="N19" i="12" l="1"/>
  <c r="N26" i="12" s="1"/>
  <c r="N35" i="56" s="1"/>
  <c r="V38" i="1" l="1"/>
  <c r="Q35" i="56"/>
  <c r="N42" i="56"/>
  <c r="F18" i="12"/>
  <c r="V45" i="1" l="1"/>
  <c r="N110" i="56"/>
  <c r="Q42" i="56"/>
  <c r="Q110" i="56" s="1"/>
  <c r="F19" i="12"/>
  <c r="F26" i="12"/>
  <c r="V113" i="1" l="1"/>
  <c r="V32" i="1"/>
  <c r="N29" i="56"/>
  <c r="Q29" i="56" s="1"/>
  <c r="N28" i="56"/>
  <c r="Q28" i="56" s="1"/>
  <c r="N27" i="56"/>
  <c r="Q27" i="56" s="1"/>
  <c r="H19" i="10" l="1"/>
  <c r="N16" i="8"/>
  <c r="F16" i="8"/>
  <c r="N26" i="56" l="1"/>
  <c r="Q26" i="56" s="1"/>
  <c r="N25" i="56"/>
  <c r="Q25" i="56" s="1"/>
  <c r="N23" i="56"/>
  <c r="Q23" i="56" l="1"/>
  <c r="N30" i="56"/>
  <c r="N109" i="56" l="1"/>
  <c r="N31" i="56"/>
  <c r="Q31" i="56" s="1"/>
  <c r="Q30" i="56"/>
  <c r="Q109" i="56" s="1"/>
  <c r="N32" i="5"/>
  <c r="L19" i="4" l="1"/>
  <c r="C20" i="4"/>
  <c r="D20" i="4"/>
  <c r="E20" i="4"/>
  <c r="G20" i="4"/>
  <c r="F30" i="3"/>
  <c r="K30" i="3"/>
  <c r="J105" i="1" l="1"/>
  <c r="J65" i="1"/>
  <c r="J45" i="1"/>
  <c r="J33" i="1"/>
  <c r="J21" i="1"/>
  <c r="J88" i="1" l="1"/>
  <c r="J66" i="1"/>
  <c r="J34" i="1"/>
  <c r="J107" i="1" l="1"/>
  <c r="G19" i="4" l="1"/>
  <c r="G22" i="4"/>
  <c r="K32" i="5"/>
  <c r="I22" i="14" l="1"/>
  <c r="N46" i="56" l="1"/>
  <c r="Q46" i="56" l="1"/>
  <c r="H38" i="29"/>
  <c r="E15" i="30" l="1"/>
  <c r="E14" i="30"/>
  <c r="E13" i="30"/>
  <c r="F45" i="29" l="1"/>
  <c r="F51" i="29" s="1"/>
  <c r="F52" i="29" s="1"/>
  <c r="F43" i="29"/>
  <c r="F48" i="29" s="1"/>
  <c r="F8" i="29" l="1"/>
  <c r="F18" i="29" l="1"/>
  <c r="F11" i="29"/>
  <c r="F23" i="29" l="1"/>
  <c r="F30" i="29" s="1"/>
  <c r="C16" i="30"/>
  <c r="C8" i="30" l="1"/>
  <c r="C18" i="30"/>
  <c r="I21" i="29" l="1"/>
  <c r="I14" i="29"/>
  <c r="AL31" i="7" l="1"/>
  <c r="AK30" i="7"/>
  <c r="AL15" i="7"/>
  <c r="AL30" i="7" l="1"/>
  <c r="D18" i="19" l="1"/>
  <c r="D17" i="19"/>
  <c r="C74" i="1"/>
  <c r="C105" i="1"/>
  <c r="C65" i="1"/>
  <c r="C45" i="1"/>
  <c r="C21" i="1"/>
  <c r="C29" i="1"/>
  <c r="C33" i="1" s="1"/>
  <c r="D29" i="1"/>
  <c r="D33" i="1" s="1"/>
  <c r="D65" i="1"/>
  <c r="D105" i="1"/>
  <c r="D45" i="1"/>
  <c r="D21" i="1"/>
  <c r="E21" i="1"/>
  <c r="C88" i="1" l="1"/>
  <c r="C107" i="1" s="1"/>
  <c r="D88" i="1"/>
  <c r="D107" i="1" s="1"/>
  <c r="C34" i="1"/>
  <c r="C66" i="1"/>
  <c r="D66" i="1"/>
  <c r="D34" i="1"/>
  <c r="J25" i="27" l="1"/>
  <c r="E25" i="27"/>
  <c r="F25" i="27"/>
  <c r="D25" i="27" l="1"/>
  <c r="C25" i="27"/>
  <c r="H25" i="27" l="1"/>
  <c r="F39" i="13" l="1"/>
  <c r="E39" i="13"/>
  <c r="D39" i="13"/>
  <c r="F32" i="13"/>
  <c r="E32" i="13"/>
  <c r="D32" i="13"/>
  <c r="F20" i="13"/>
  <c r="E20" i="13"/>
  <c r="D20" i="13"/>
  <c r="G13" i="13"/>
  <c r="G47" i="13" s="1"/>
  <c r="F13" i="13"/>
  <c r="E13" i="13"/>
  <c r="D13" i="13"/>
  <c r="D47" i="13" l="1"/>
  <c r="E47" i="13"/>
  <c r="F47" i="13"/>
  <c r="F105" i="1"/>
  <c r="G105" i="1"/>
  <c r="H105" i="1"/>
  <c r="E105" i="1"/>
  <c r="F11" i="7"/>
  <c r="F36" i="7"/>
  <c r="F79" i="7"/>
  <c r="F31" i="7"/>
  <c r="F6" i="7"/>
  <c r="F40" i="7"/>
  <c r="F26" i="7"/>
  <c r="F25" i="7"/>
  <c r="F27" i="7"/>
  <c r="V118" i="1" l="1"/>
  <c r="H25" i="7" l="1"/>
  <c r="H26" i="7"/>
  <c r="H29" i="7"/>
  <c r="H40" i="7"/>
  <c r="H11" i="7"/>
  <c r="H10" i="7"/>
  <c r="H19" i="7"/>
  <c r="H36" i="7"/>
  <c r="E65" i="1" l="1"/>
  <c r="E45" i="1"/>
  <c r="G7" i="6"/>
  <c r="E66" i="1" l="1"/>
  <c r="K6" i="6"/>
  <c r="K5" i="6"/>
  <c r="K15" i="6" s="1"/>
  <c r="I6" i="6"/>
  <c r="I5" i="6"/>
  <c r="G6" i="6"/>
  <c r="G5" i="6"/>
  <c r="G15" i="6" s="1"/>
  <c r="E6" i="6"/>
  <c r="E5" i="6"/>
  <c r="E15" i="6" l="1"/>
  <c r="I15" i="6"/>
  <c r="G32" i="5"/>
  <c r="E32" i="5"/>
  <c r="C19" i="4" l="1"/>
  <c r="E19" i="4"/>
  <c r="F19" i="4"/>
  <c r="F20" i="4" s="1"/>
  <c r="D19" i="4"/>
  <c r="F29" i="1" l="1"/>
  <c r="F33" i="1" s="1"/>
  <c r="E29" i="1"/>
  <c r="E33" i="1" s="1"/>
  <c r="E88" i="1" s="1"/>
  <c r="F65" i="1"/>
  <c r="F45" i="1"/>
  <c r="F21" i="1"/>
  <c r="E7" i="30" l="1"/>
  <c r="F88" i="1"/>
  <c r="F107" i="1" s="1"/>
  <c r="E34" i="1"/>
  <c r="E107" i="1"/>
  <c r="F66" i="1"/>
  <c r="F34" i="1"/>
  <c r="H26" i="29" l="1"/>
  <c r="I26" i="29" s="1"/>
  <c r="G65" i="1" l="1"/>
  <c r="H65" i="1"/>
  <c r="G45" i="1"/>
  <c r="H45" i="1"/>
  <c r="H33" i="1"/>
  <c r="G21" i="1"/>
  <c r="H21" i="1"/>
  <c r="G33" i="1"/>
  <c r="H88" i="1" l="1"/>
  <c r="H107" i="1" s="1"/>
  <c r="G88" i="1"/>
  <c r="G107" i="1" s="1"/>
  <c r="H34" i="1"/>
  <c r="G34" i="1"/>
  <c r="H66" i="1"/>
  <c r="G66" i="1"/>
  <c r="X3" i="19" l="1"/>
  <c r="I18" i="19"/>
  <c r="I17" i="19"/>
  <c r="I37" i="19" s="1"/>
  <c r="H16" i="19"/>
  <c r="H15" i="19"/>
  <c r="H14" i="19"/>
  <c r="H37" i="19" l="1"/>
  <c r="G22" i="19"/>
  <c r="F22" i="19"/>
  <c r="G29" i="15" l="1"/>
  <c r="F34" i="15"/>
  <c r="G34" i="15" l="1"/>
  <c r="E22" i="14" l="1"/>
  <c r="D22" i="14"/>
  <c r="G12" i="14" l="1"/>
  <c r="G22" i="14" s="1"/>
  <c r="F11" i="14"/>
  <c r="F9" i="14"/>
  <c r="F10" i="14"/>
  <c r="Y19" i="7" l="1"/>
  <c r="Z19" i="7" s="1"/>
  <c r="Y56" i="7"/>
  <c r="Z56" i="7" s="1"/>
  <c r="K56" i="7"/>
  <c r="L56" i="7" s="1"/>
  <c r="M56" i="7" s="1"/>
  <c r="N56" i="7" s="1"/>
  <c r="Y33" i="7"/>
  <c r="Z33" i="7" s="1"/>
  <c r="K33" i="7"/>
  <c r="L33" i="7" s="1"/>
  <c r="M33" i="7" s="1"/>
  <c r="N33" i="7" s="1"/>
  <c r="Y6" i="7"/>
  <c r="Z6" i="7" s="1"/>
  <c r="L13" i="7"/>
  <c r="N13" i="7" s="1"/>
  <c r="AB27" i="7"/>
  <c r="Y27" i="7"/>
  <c r="Z27" i="7" s="1"/>
  <c r="K27" i="7"/>
  <c r="L27" i="7" s="1"/>
  <c r="M27" i="7" s="1"/>
  <c r="N27" i="7" s="1"/>
  <c r="AB26" i="7"/>
  <c r="Y26" i="7"/>
  <c r="Z26" i="7" s="1"/>
  <c r="L26" i="7"/>
  <c r="M26" i="7" s="1"/>
  <c r="N26" i="7" s="1"/>
  <c r="AB52" i="7"/>
  <c r="Y52" i="7"/>
  <c r="Z52" i="7" s="1"/>
  <c r="L52" i="7"/>
  <c r="M52" i="7" s="1"/>
  <c r="N52" i="7" s="1"/>
  <c r="AB41" i="7"/>
  <c r="Y41" i="7"/>
  <c r="Z41" i="7" s="1"/>
  <c r="L41" i="7"/>
  <c r="M41" i="7" s="1"/>
  <c r="N41" i="7" s="1"/>
  <c r="AB10" i="7"/>
  <c r="Y10" i="7"/>
  <c r="Z10" i="7" s="1"/>
  <c r="L10" i="7"/>
  <c r="M10" i="7" s="1"/>
  <c r="N10" i="7" s="1"/>
  <c r="L31" i="7"/>
  <c r="M31" i="7" s="1"/>
  <c r="N31" i="7" s="1"/>
  <c r="AB54" i="7"/>
  <c r="Y54" i="7"/>
  <c r="Z54" i="7" s="1"/>
  <c r="L54" i="7"/>
  <c r="M54" i="7" s="1"/>
  <c r="N54" i="7" s="1"/>
  <c r="L15" i="7"/>
  <c r="N15" i="7" s="1"/>
  <c r="AB17" i="7"/>
  <c r="L17" i="7"/>
  <c r="N17" i="7" s="1"/>
  <c r="L51" i="7"/>
  <c r="M51" i="7" s="1"/>
  <c r="N51" i="7" s="1"/>
  <c r="L30" i="7"/>
  <c r="M30" i="7" s="1"/>
  <c r="N30" i="7" s="1"/>
  <c r="L29" i="7"/>
  <c r="M29" i="7" s="1"/>
  <c r="N29" i="7" s="1"/>
  <c r="AB25" i="7"/>
  <c r="Y25" i="7"/>
  <c r="Z25" i="7" s="1"/>
  <c r="L25" i="7"/>
  <c r="M25" i="7" s="1"/>
  <c r="N25" i="7" s="1"/>
  <c r="AB36" i="7"/>
  <c r="Y36" i="7"/>
  <c r="Z36" i="7" s="1"/>
  <c r="L36" i="7"/>
  <c r="M36" i="7" s="1"/>
  <c r="N36" i="7" s="1"/>
  <c r="AB40" i="7"/>
  <c r="Y40" i="7"/>
  <c r="Z40" i="7" s="1"/>
  <c r="L40" i="7"/>
  <c r="M40" i="7" s="1"/>
  <c r="N40" i="7" s="1"/>
  <c r="L22" i="7"/>
  <c r="M22" i="7" s="1"/>
  <c r="N22" i="7" s="1"/>
  <c r="AB11" i="7"/>
  <c r="Y11" i="7"/>
  <c r="Z11" i="7" s="1"/>
  <c r="L11" i="7"/>
  <c r="M11" i="7" s="1"/>
  <c r="N11" i="7" s="1"/>
  <c r="AB42" i="7"/>
  <c r="Y42" i="7"/>
  <c r="Z42" i="7" s="1"/>
  <c r="L42" i="7"/>
  <c r="M42" i="7" s="1"/>
  <c r="N42" i="7" s="1"/>
  <c r="AB53" i="7"/>
  <c r="Y53" i="7"/>
  <c r="Z53" i="7" s="1"/>
  <c r="L53" i="7"/>
  <c r="M53" i="7" s="1"/>
  <c r="N53" i="7" s="1"/>
  <c r="Y79" i="7"/>
  <c r="Z79" i="7" s="1"/>
  <c r="L79" i="7"/>
  <c r="M79" i="7" s="1"/>
  <c r="N79" i="7" s="1"/>
  <c r="Y18" i="7"/>
  <c r="Z18" i="7" s="1"/>
  <c r="O42" i="7" l="1"/>
  <c r="O27" i="7"/>
  <c r="O79" i="7"/>
  <c r="F22" i="4" l="1"/>
  <c r="G30" i="3"/>
  <c r="C9" i="17" l="1"/>
  <c r="C38" i="17" s="1"/>
  <c r="E24" i="12" l="1"/>
  <c r="D24" i="12"/>
  <c r="C24" i="12"/>
  <c r="C18" i="12"/>
  <c r="C19" i="12" s="1"/>
  <c r="E18" i="12"/>
  <c r="E19" i="12" s="1"/>
  <c r="D5" i="12"/>
  <c r="D18" i="12" s="1"/>
  <c r="C26" i="12" l="1"/>
  <c r="E26" i="12"/>
  <c r="D26" i="12"/>
  <c r="D19" i="12"/>
  <c r="G19" i="10" l="1"/>
  <c r="F19" i="10"/>
  <c r="E19" i="10"/>
  <c r="D19" i="10"/>
  <c r="E16" i="8" l="1"/>
  <c r="D16" i="8"/>
  <c r="C16" i="8"/>
  <c r="J32" i="5" l="1"/>
  <c r="I32" i="5"/>
  <c r="E21" i="4" l="1"/>
  <c r="E30" i="3" l="1"/>
  <c r="D30" i="3"/>
  <c r="C14" i="3"/>
  <c r="C30" i="3" s="1"/>
  <c r="H6" i="29" l="1"/>
  <c r="I105" i="1"/>
  <c r="I21" i="1"/>
  <c r="I45" i="1"/>
  <c r="I33" i="1"/>
  <c r="I65" i="1"/>
  <c r="I88" i="1" l="1"/>
  <c r="I6" i="29"/>
  <c r="I66" i="1"/>
  <c r="I34" i="1"/>
  <c r="I107" i="1" l="1"/>
  <c r="F11" i="30" l="1"/>
  <c r="V33" i="1"/>
  <c r="V112" i="1" l="1"/>
  <c r="G8" i="29" l="1"/>
  <c r="H8" i="29" s="1"/>
  <c r="I8" i="29" l="1"/>
  <c r="I11" i="29" s="1"/>
  <c r="H11" i="29"/>
  <c r="N58" i="56"/>
  <c r="N62" i="56" s="1"/>
  <c r="V65" i="1" l="1"/>
  <c r="H16" i="29" s="1"/>
  <c r="Q58" i="56"/>
  <c r="N111" i="56"/>
  <c r="N114" i="56" s="1"/>
  <c r="Q62" i="56"/>
  <c r="Q111" i="56" s="1"/>
  <c r="N88" i="56"/>
  <c r="N63" i="56"/>
  <c r="Q63" i="56" s="1"/>
  <c r="V66" i="1" l="1"/>
  <c r="V114" i="1"/>
  <c r="H18" i="29"/>
  <c r="H23" i="29" s="1"/>
  <c r="H30" i="29" s="1"/>
  <c r="I16" i="29"/>
  <c r="I18" i="29" s="1"/>
  <c r="I23" i="29" s="1"/>
  <c r="I30" i="29" s="1"/>
  <c r="Q114" i="56"/>
  <c r="N116" i="56"/>
  <c r="Q116" i="56" s="1"/>
  <c r="N105" i="56"/>
  <c r="Q105" i="56" s="1"/>
  <c r="Q88" i="56"/>
  <c r="V21" i="1" l="1"/>
  <c r="V34" i="1" l="1"/>
  <c r="V88" i="1"/>
  <c r="V111" i="1"/>
  <c r="V107" i="1" l="1"/>
  <c r="V117" i="1"/>
  <c r="E6" i="30" l="1"/>
  <c r="E16" i="30" s="1"/>
  <c r="E18" i="30" s="1"/>
  <c r="F6" i="30"/>
  <c r="F16" i="30" s="1"/>
  <c r="F18" i="30" s="1"/>
  <c r="V119" i="1"/>
  <c r="E8" i="30" l="1"/>
  <c r="F8" i="30"/>
</calcChain>
</file>

<file path=xl/sharedStrings.xml><?xml version="1.0" encoding="utf-8"?>
<sst xmlns="http://schemas.openxmlformats.org/spreadsheetml/2006/main" count="3372" uniqueCount="1455">
  <si>
    <t>LONGTHORPE BOWLS CLUB</t>
  </si>
  <si>
    <t>Figures : Rounded</t>
  </si>
  <si>
    <t>Income</t>
  </si>
  <si>
    <t>Expenses</t>
  </si>
  <si>
    <t>Grand Total</t>
  </si>
  <si>
    <t>Subscriptions - Full Members</t>
  </si>
  <si>
    <t>Subscriptions - Social Members</t>
  </si>
  <si>
    <t>Joining Fees</t>
  </si>
  <si>
    <t>Rink Fees</t>
  </si>
  <si>
    <t>Raffles (Home Games)</t>
  </si>
  <si>
    <t>Charity Event</t>
  </si>
  <si>
    <t>Competition Fees</t>
  </si>
  <si>
    <t>Bowls Events</t>
  </si>
  <si>
    <t>Spring Triples</t>
  </si>
  <si>
    <t>Income Total</t>
  </si>
  <si>
    <t>Green Maintenance</t>
  </si>
  <si>
    <t>Green Rent</t>
  </si>
  <si>
    <t>Equipment Maintenance (incl Petrol)</t>
  </si>
  <si>
    <t>New Machinery</t>
  </si>
  <si>
    <t>Bowls Equipment</t>
  </si>
  <si>
    <t>Trophies &amp; Prizes</t>
  </si>
  <si>
    <t>League Fees</t>
  </si>
  <si>
    <t>Raffle Prizes etc.</t>
  </si>
  <si>
    <t>Sprinkler System Maintenance</t>
  </si>
  <si>
    <t>Expenses Total</t>
  </si>
  <si>
    <t>BOWLING ACTIVITIES Total</t>
  </si>
  <si>
    <t>NON-BOWLING ACTIVITIES</t>
  </si>
  <si>
    <t>Annual Dinner</t>
  </si>
  <si>
    <t>Grants</t>
  </si>
  <si>
    <t>Plant Sales</t>
  </si>
  <si>
    <t>Quiz Nights</t>
  </si>
  <si>
    <t>Race Night</t>
  </si>
  <si>
    <t>Social Events - Other</t>
  </si>
  <si>
    <t>Sale of Notelets &amp; Books</t>
  </si>
  <si>
    <t>LAV Income</t>
  </si>
  <si>
    <t>General Overheads</t>
  </si>
  <si>
    <t>Insurance</t>
  </si>
  <si>
    <t>Electricity</t>
  </si>
  <si>
    <t>Hire of Hall</t>
  </si>
  <si>
    <t>Security</t>
  </si>
  <si>
    <t>General Maintenance</t>
  </si>
  <si>
    <t>Water</t>
  </si>
  <si>
    <t>Waste Disposal</t>
  </si>
  <si>
    <t>General Catering</t>
  </si>
  <si>
    <t>General Stationery</t>
  </si>
  <si>
    <t>Website Domain &amp; Hosting</t>
  </si>
  <si>
    <t>Misc Expenses</t>
  </si>
  <si>
    <t>Health &amp; Safety</t>
  </si>
  <si>
    <t>Memorial Benches</t>
  </si>
  <si>
    <t>Petty Cash</t>
  </si>
  <si>
    <t>New Tea Room</t>
  </si>
  <si>
    <t>General Overheads Total</t>
  </si>
  <si>
    <t>NON-BOWLING ACTIVITIES Total</t>
  </si>
  <si>
    <t>Donations</t>
  </si>
  <si>
    <t>Interest from Scottish Widows</t>
  </si>
  <si>
    <t>OTHER INCOME Total</t>
  </si>
  <si>
    <t>DEPRECIATION</t>
  </si>
  <si>
    <t>Mower</t>
  </si>
  <si>
    <t>Rotory Mower</t>
  </si>
  <si>
    <t>Water Pump</t>
  </si>
  <si>
    <t>Tea Room</t>
  </si>
  <si>
    <t>DEPRECIATION Total</t>
  </si>
  <si>
    <t>RINK FEES</t>
  </si>
  <si>
    <t>Club Roll Up</t>
  </si>
  <si>
    <t>Probus 02</t>
  </si>
  <si>
    <t>Probus 91</t>
  </si>
  <si>
    <t>Drawn KO Triples (A Palmer)</t>
  </si>
  <si>
    <t>Drawn Mixed Pairs (Mixed Pairs)</t>
  </si>
  <si>
    <t>Roy Wedley Gala Cup</t>
  </si>
  <si>
    <t>John Constable (Drawn Trips)</t>
  </si>
  <si>
    <t xml:space="preserve"> </t>
  </si>
  <si>
    <t>Ames (Ray)</t>
  </si>
  <si>
    <t>Baldwin (Harry)</t>
  </si>
  <si>
    <t>Baldwin (Judy)</t>
  </si>
  <si>
    <t>Benns (Tony)</t>
  </si>
  <si>
    <t>Boughton (Terry)</t>
  </si>
  <si>
    <t>Boyall (Carol)</t>
  </si>
  <si>
    <t>Boyall (Graham)</t>
  </si>
  <si>
    <t>Bridgefoot (Geoff)</t>
  </si>
  <si>
    <t>Calver (Roger)</t>
  </si>
  <si>
    <t>Charles (Elaine)</t>
  </si>
  <si>
    <t>Charles (Rob)</t>
  </si>
  <si>
    <t>Coolbear (John)</t>
  </si>
  <si>
    <t>Creek (Eleanor)</t>
  </si>
  <si>
    <t>Creek (Ted)</t>
  </si>
  <si>
    <t>Dawson (John)</t>
  </si>
  <si>
    <t>Dullea (Terence)</t>
  </si>
  <si>
    <t>Eldred (Alan)</t>
  </si>
  <si>
    <t>Eldred (Elizabeth)</t>
  </si>
  <si>
    <t>Engelbert (Hendrik)</t>
  </si>
  <si>
    <t>Engelbert (Maureen)</t>
  </si>
  <si>
    <t>Giblin (Allan)</t>
  </si>
  <si>
    <t>Gill (Dick)</t>
  </si>
  <si>
    <t>Gill (Margaret)</t>
  </si>
  <si>
    <t>Griffin (Bob)</t>
  </si>
  <si>
    <t>Harbour (Joy)</t>
  </si>
  <si>
    <t>Harradine (Peter)</t>
  </si>
  <si>
    <t>Harradine (Sandra)</t>
  </si>
  <si>
    <t>Harris (Jean)</t>
  </si>
  <si>
    <t>Harris (Ron)</t>
  </si>
  <si>
    <t>Harrison (Gloria)</t>
  </si>
  <si>
    <t>Harrison (Richard)</t>
  </si>
  <si>
    <t>Henson (Lynne)</t>
  </si>
  <si>
    <t>Hibbard (Jenny)</t>
  </si>
  <si>
    <t>Hibbard (Roy)</t>
  </si>
  <si>
    <t>Hill (Peter)</t>
  </si>
  <si>
    <t>Huggins (Tony)</t>
  </si>
  <si>
    <t>Hunt (Pat)</t>
  </si>
  <si>
    <t>Jackson (Ron)</t>
  </si>
  <si>
    <t>Jay (Bridget)</t>
  </si>
  <si>
    <t>Jay (Richard)</t>
  </si>
  <si>
    <t>Jones (David)</t>
  </si>
  <si>
    <t>Jones (Jean)</t>
  </si>
  <si>
    <t>Kennedy (Carol)</t>
  </si>
  <si>
    <t>Kennedy (Michael)</t>
  </si>
  <si>
    <t>King (Tony)</t>
  </si>
  <si>
    <t>Kingston (Brian)</t>
  </si>
  <si>
    <t>Knaggs (Jackie)</t>
  </si>
  <si>
    <t>Knaggs (Peter)</t>
  </si>
  <si>
    <t>Lilley (Gordon)</t>
  </si>
  <si>
    <t>Lilley (Jane)</t>
  </si>
  <si>
    <t>Mahmoud (Nabil)</t>
  </si>
  <si>
    <t>Mahmoud (Susan)</t>
  </si>
  <si>
    <t>McGeever (Robert)</t>
  </si>
  <si>
    <t>McGill (Jean)</t>
  </si>
  <si>
    <t>McGill (Stuart)</t>
  </si>
  <si>
    <t>Moon (Terry)</t>
  </si>
  <si>
    <t>Naylor-Leyland (Sir Philip Bt.)</t>
  </si>
  <si>
    <t>Nott (Shirley)</t>
  </si>
  <si>
    <t>Peachey (Eric)</t>
  </si>
  <si>
    <t>Peck (Marjorie)</t>
  </si>
  <si>
    <t>Perks (Alan)</t>
  </si>
  <si>
    <t>Perks (Jackie)</t>
  </si>
  <si>
    <t>Pigg (Jim)</t>
  </si>
  <si>
    <t>Roddy (Dorothy)</t>
  </si>
  <si>
    <t>Scotney (Audrey)</t>
  </si>
  <si>
    <t>Scotney (Judy)</t>
  </si>
  <si>
    <t>Shakespeare (Keith)</t>
  </si>
  <si>
    <t>Sharples (Barbara)</t>
  </si>
  <si>
    <t>Shaw (Andrew)</t>
  </si>
  <si>
    <t>Shaw (Lesley)</t>
  </si>
  <si>
    <t>Vassallo (Mirella)</t>
  </si>
  <si>
    <t>Vassallo (Ron)</t>
  </si>
  <si>
    <t>Venters (Barry)</t>
  </si>
  <si>
    <t>Ward (Sheila)</t>
  </si>
  <si>
    <t>Warren (Derek)</t>
  </si>
  <si>
    <t>Warwick (Malcolm)</t>
  </si>
  <si>
    <t>Warwick (Margaret)</t>
  </si>
  <si>
    <t>Wedley (Pat)</t>
  </si>
  <si>
    <t>Whittaker (Brit)</t>
  </si>
  <si>
    <t>Wilson (Rae)</t>
  </si>
  <si>
    <t>Wilson (Terry)</t>
  </si>
  <si>
    <t>Wright (Bill)</t>
  </si>
  <si>
    <t>Wright (Catherine)</t>
  </si>
  <si>
    <t>Young (Bob)</t>
  </si>
  <si>
    <t>Young (Hazel)</t>
  </si>
  <si>
    <t>2016 Total</t>
  </si>
  <si>
    <t>2017 Budget</t>
  </si>
  <si>
    <t>League - Mid Week</t>
  </si>
  <si>
    <t>Home Game Raffles</t>
  </si>
  <si>
    <t>Event, Function or Expense</t>
  </si>
  <si>
    <t>Average</t>
  </si>
  <si>
    <t>2016 Home games should have been 12</t>
  </si>
  <si>
    <t>Description</t>
  </si>
  <si>
    <t>Doc No</t>
  </si>
  <si>
    <t>Chairman v President Cream Tea</t>
  </si>
  <si>
    <t>Sponsorship</t>
  </si>
  <si>
    <t>Prizes</t>
  </si>
  <si>
    <t>Catering</t>
  </si>
  <si>
    <t>Petrol / oil</t>
  </si>
  <si>
    <t>Mower major service (2015)</t>
  </si>
  <si>
    <t>Parts</t>
  </si>
  <si>
    <t>New Engine for Top dresser</t>
  </si>
  <si>
    <t>Doc 545</t>
  </si>
  <si>
    <t>New Watering Pump Unit</t>
  </si>
  <si>
    <t>Trade UK Account</t>
  </si>
  <si>
    <t>Doc 503</t>
  </si>
  <si>
    <t>Strimmer</t>
  </si>
  <si>
    <t>Doc 499</t>
  </si>
  <si>
    <t>Rotary Mower</t>
  </si>
  <si>
    <t>Doc 325</t>
  </si>
  <si>
    <t>Brush cassette for mower</t>
  </si>
  <si>
    <t>Cost</t>
  </si>
  <si>
    <t>Premier Engraving</t>
  </si>
  <si>
    <t>Trophies &amp; Engravings</t>
  </si>
  <si>
    <t>Key rings - Cromer/Sheringham</t>
  </si>
  <si>
    <t>Hibbard J (Exps)</t>
  </si>
  <si>
    <t>Key Rings - 2016-06 Drawn KO Triples</t>
  </si>
  <si>
    <t>Manor Team</t>
  </si>
  <si>
    <t>Romans Team</t>
  </si>
  <si>
    <t>Saxons Team</t>
  </si>
  <si>
    <t>Tower Team</t>
  </si>
  <si>
    <t>Woods Team</t>
  </si>
  <si>
    <t>PLANT SALES</t>
  </si>
  <si>
    <t>Tea/Cakes</t>
  </si>
  <si>
    <t>Raffle</t>
  </si>
  <si>
    <t>Printing &amp; vars</t>
  </si>
  <si>
    <t>T/s to Charity Event</t>
  </si>
  <si>
    <t>Tickets</t>
  </si>
  <si>
    <t>Strawberry Tea</t>
  </si>
  <si>
    <t>BBQ</t>
  </si>
  <si>
    <t>Cream Tea - Opening Day</t>
  </si>
  <si>
    <t>Beetle Drive</t>
  </si>
  <si>
    <t>Quiz Night (March)</t>
  </si>
  <si>
    <t>Plant Sale</t>
  </si>
  <si>
    <t>AGM</t>
  </si>
  <si>
    <t>Quiz Night (December)</t>
  </si>
  <si>
    <t>Lock for front gate &amp; safe in tearoom</t>
  </si>
  <si>
    <t>5 x padlocks and 50 keys</t>
  </si>
  <si>
    <t>Combination padlocks</t>
  </si>
  <si>
    <t>Mortice Locks</t>
  </si>
  <si>
    <t>Keys Purchased</t>
  </si>
  <si>
    <t>North border (top soil &amp; seed)</t>
  </si>
  <si>
    <t>Turf</t>
  </si>
  <si>
    <t>Fencing Materials</t>
  </si>
  <si>
    <t>Hedge &amp; Tree</t>
  </si>
  <si>
    <t>Shed</t>
  </si>
  <si>
    <t>Ramp at rear of Tearoom</t>
  </si>
  <si>
    <t>Nuts, washers, bolts, nails, screws and the like</t>
  </si>
  <si>
    <t>Electrics</t>
  </si>
  <si>
    <t>Flymo trimmer, leaf rake, petrol can, trolly, watering can and access</t>
  </si>
  <si>
    <t>Pavilion Insulation/mdf, Roofing &amp; repair E &amp; W Pavilion, Coir matting</t>
  </si>
  <si>
    <t>Paving</t>
  </si>
  <si>
    <t>Rink markers</t>
  </si>
  <si>
    <t>Fixed 'L'  shape benches for veranda</t>
  </si>
  <si>
    <t>Flag Pole</t>
  </si>
  <si>
    <t>GM/GM</t>
  </si>
  <si>
    <t>GM/Safety Tape &amp; Strips</t>
  </si>
  <si>
    <t>Travel - Diesel</t>
  </si>
  <si>
    <t>Fire Extinguishers &amp; blanket</t>
  </si>
  <si>
    <t>3 x dustpans &amp; brushes</t>
  </si>
  <si>
    <t>Marquee canopy</t>
  </si>
  <si>
    <t>Paint</t>
  </si>
  <si>
    <t>Refurbishing Benches</t>
  </si>
  <si>
    <t>Hose Reel &amp; Connections</t>
  </si>
  <si>
    <t>Honours Board,  Vinyl lettering &amp; hooks</t>
  </si>
  <si>
    <t>First Aid Kit</t>
  </si>
  <si>
    <t>Flag &amp; Signboards etc</t>
  </si>
  <si>
    <t>Flag &amp; Signboards etc(R Jackson flag Sponsor)</t>
  </si>
  <si>
    <t>Presentation vases for E Peachey &amp; R Jackson at AGM</t>
  </si>
  <si>
    <t>Sale of Sprayer</t>
  </si>
  <si>
    <t>Welfare - Steve &amp; Linda Shop/Post Office</t>
  </si>
  <si>
    <t>Welfare - Flowers for Green neighbours</t>
  </si>
  <si>
    <t>Welfare - Plant for M King</t>
  </si>
  <si>
    <t>Cash Box</t>
  </si>
  <si>
    <t>Auditor's Gift</t>
  </si>
  <si>
    <t>League - Club 60 Green</t>
  </si>
  <si>
    <t>Collier Turf</t>
  </si>
  <si>
    <t>Chemical Instrata</t>
  </si>
  <si>
    <t>GREEN MAINTENANCE</t>
  </si>
  <si>
    <t>Supplier</t>
  </si>
  <si>
    <t>Product</t>
  </si>
  <si>
    <t>FERTILISERS AND PESTICIDES (EXCL TOP DRESSING)</t>
  </si>
  <si>
    <t>3 ltr</t>
  </si>
  <si>
    <t>Ringer</t>
  </si>
  <si>
    <t>5 ltr</t>
  </si>
  <si>
    <t>Grossed up to account for £50 sponsorship</t>
  </si>
  <si>
    <t>Not sure if this is same product/quantity as 2015</t>
  </si>
  <si>
    <t>Prestige Super ph Buffer</t>
  </si>
  <si>
    <t>1 ltr</t>
  </si>
  <si>
    <t>Prestige PH buffer</t>
  </si>
  <si>
    <t>Prestige Super Establisher 3:1:4</t>
  </si>
  <si>
    <t>20 kg</t>
  </si>
  <si>
    <t>Prestige super Establisher</t>
  </si>
  <si>
    <t>Aquatrols Revolution</t>
  </si>
  <si>
    <t>10 ltr</t>
  </si>
  <si>
    <t>Revolution</t>
  </si>
  <si>
    <t>Effect Liquid Everris</t>
  </si>
  <si>
    <t>Prestige Fine Turf K Booster 5:0:28</t>
  </si>
  <si>
    <t>25 kg</t>
  </si>
  <si>
    <t>Prestige 5-0-28</t>
  </si>
  <si>
    <t>Prestige Fine Turf K Booster 14:2:6</t>
  </si>
  <si>
    <t>Prestige 14-2-6</t>
  </si>
  <si>
    <t>Enhance R Outfield S/S 15:2:6 +MgO+TE Vitax</t>
  </si>
  <si>
    <t>Enhance R 15-2-6</t>
  </si>
  <si>
    <t>Green Master Pro-Lite Po-Iron</t>
  </si>
  <si>
    <t>Credited - s/be granular</t>
  </si>
  <si>
    <t>Bar Platinum Barenbrug</t>
  </si>
  <si>
    <t>Barenbrug Bar Platinum 20kg</t>
  </si>
  <si>
    <t>20kg</t>
  </si>
  <si>
    <t>Bar Extreme Barenbrug</t>
  </si>
  <si>
    <t>Barenbrug Bar Extreme 5kg</t>
  </si>
  <si>
    <t>5kg</t>
  </si>
  <si>
    <t>Prestige Super Tank Defoamer</t>
  </si>
  <si>
    <t>Prestige tank de foamer</t>
  </si>
  <si>
    <t>Amino-Sorb Root</t>
  </si>
  <si>
    <t>Amino zorb R</t>
  </si>
  <si>
    <t>Prestige Heptasol</t>
  </si>
  <si>
    <t>12.5 kg</t>
  </si>
  <si>
    <t>Prestige Super Penetrant</t>
  </si>
  <si>
    <t>Super Penetrant</t>
  </si>
  <si>
    <t>Enhance R R A/W 5:2:15 +MgO+TE Vitax</t>
  </si>
  <si>
    <t>Enhance R 5-2-15</t>
  </si>
  <si>
    <t>Fusion Granular Indigrow</t>
  </si>
  <si>
    <t>Fusion Granular</t>
  </si>
  <si>
    <t>Bar 50 SOS Barenburg</t>
  </si>
  <si>
    <t>Heritage WSG 100g</t>
  </si>
  <si>
    <t>100 g</t>
  </si>
  <si>
    <t>28a</t>
  </si>
  <si>
    <t>Appears not to have been ordered in 2015</t>
  </si>
  <si>
    <t>Medallion TL (Small)</t>
  </si>
  <si>
    <t>1ltr</t>
  </si>
  <si>
    <t>Prestige W Soil Conditioner</t>
  </si>
  <si>
    <t>Top Dressing</t>
  </si>
  <si>
    <t>Misc</t>
  </si>
  <si>
    <t>New Water Tank</t>
  </si>
  <si>
    <t>Best Trip</t>
  </si>
  <si>
    <t>Friday</t>
  </si>
  <si>
    <t>Sunday</t>
  </si>
  <si>
    <t>Saturday</t>
  </si>
  <si>
    <t>Keys Sold net of refunds</t>
  </si>
  <si>
    <t>2014 Doc</t>
  </si>
  <si>
    <t>Home Pavilion keys</t>
  </si>
  <si>
    <t>Visitors Pavilion keys</t>
  </si>
  <si>
    <t>Tea Room keys</t>
  </si>
  <si>
    <t>Gate Keys</t>
  </si>
  <si>
    <t>2016 In Stock</t>
  </si>
  <si>
    <t>2017 Purchase</t>
  </si>
  <si>
    <t>Water 5-4-2016 - 19-10-2016</t>
  </si>
  <si>
    <t>Water 21-3-2015 to 5-4-2016</t>
  </si>
  <si>
    <t>Period</t>
  </si>
  <si>
    <t>WATER</t>
  </si>
  <si>
    <t>4 April to 31st October</t>
  </si>
  <si>
    <t>Date</t>
  </si>
  <si>
    <t>Month</t>
  </si>
  <si>
    <t>Full Date</t>
  </si>
  <si>
    <t>Day of Week</t>
  </si>
  <si>
    <t>Monday</t>
  </si>
  <si>
    <t>Tuesday</t>
  </si>
  <si>
    <t>Wednesday</t>
  </si>
  <si>
    <t>Thursday</t>
  </si>
  <si>
    <t>No of collections</t>
  </si>
  <si>
    <t>4 April to 30th October</t>
  </si>
  <si>
    <t>Cost per collection</t>
  </si>
  <si>
    <t>Xtra collections</t>
  </si>
  <si>
    <t>6 April to 26tht October</t>
  </si>
  <si>
    <t>17 Nov to 31st March</t>
  </si>
  <si>
    <t>BBQ grids</t>
  </si>
  <si>
    <t>Catering &amp;/or Cleaning Supplies</t>
  </si>
  <si>
    <t>Prizes/Catering for Charity Day Events - a/c LBC</t>
  </si>
  <si>
    <t>Bottle of Malt for Sir Philip</t>
  </si>
  <si>
    <t>Cost of cake</t>
  </si>
  <si>
    <t>Printing ink - Race Night &amp; fixture cards</t>
  </si>
  <si>
    <t>Postage Stamps</t>
  </si>
  <si>
    <t>Raffle Tickets</t>
  </si>
  <si>
    <t>Get well card</t>
  </si>
  <si>
    <t>Biscuits &amp; Bags</t>
  </si>
  <si>
    <t>Tape &amp; A4 / A3</t>
  </si>
  <si>
    <t>Website Hosting</t>
  </si>
  <si>
    <t>Website Domain</t>
  </si>
  <si>
    <t>12 mos @ 26 March</t>
  </si>
  <si>
    <t>Auditor - see also Misc Exps</t>
  </si>
  <si>
    <t>DEPRECIATION TABLE</t>
  </si>
  <si>
    <t>Equipment</t>
  </si>
  <si>
    <t>Annual Rate of Depreciation</t>
  </si>
  <si>
    <t>New Spreader</t>
  </si>
  <si>
    <t>New Spayer</t>
  </si>
  <si>
    <t>New Mower Brush</t>
  </si>
  <si>
    <t>New Rotory Mower</t>
  </si>
  <si>
    <t>Total Annual Depreciation</t>
  </si>
  <si>
    <t>Total Cost Price</t>
  </si>
  <si>
    <t>Water Tank</t>
  </si>
  <si>
    <t>Marque</t>
  </si>
  <si>
    <t>Rounded</t>
  </si>
  <si>
    <t>Net Income &amp; Expenditure Surplus after Depreciation</t>
  </si>
  <si>
    <t>Date Paid</t>
  </si>
  <si>
    <t>Friendly v Crowland</t>
  </si>
  <si>
    <t>Friendly v Yaxley</t>
  </si>
  <si>
    <t>Friendly v Ryhall</t>
  </si>
  <si>
    <t>Event</t>
  </si>
  <si>
    <t>Friendly v Barnack</t>
  </si>
  <si>
    <t>Friendly v Bushfields</t>
  </si>
  <si>
    <t>Friendly v Carlby</t>
  </si>
  <si>
    <t>Friendly v Central Park</t>
  </si>
  <si>
    <t>Friendly v Oundle</t>
  </si>
  <si>
    <t>Friendly v Ramsey</t>
  </si>
  <si>
    <t>May</t>
  </si>
  <si>
    <t>June</t>
  </si>
  <si>
    <t>July</t>
  </si>
  <si>
    <t>August</t>
  </si>
  <si>
    <t>September</t>
  </si>
  <si>
    <t>Bowls Drive</t>
  </si>
  <si>
    <t>Spider</t>
  </si>
  <si>
    <t>Tea/cake</t>
  </si>
  <si>
    <t>Home Teams</t>
  </si>
  <si>
    <t>Away Teams</t>
  </si>
  <si>
    <t>Lunches</t>
  </si>
  <si>
    <t>Seed Excl VAT</t>
  </si>
  <si>
    <t>Seed Excl VAT Smaller quantity/bag</t>
  </si>
  <si>
    <t>Disposable Respirators</t>
  </si>
  <si>
    <t>1 pkt</t>
  </si>
  <si>
    <t>Grass Seed</t>
  </si>
  <si>
    <t>Bowls Drive - May</t>
  </si>
  <si>
    <t>Roy Wedley Gala Cup - Raffle</t>
  </si>
  <si>
    <t>Drawn KO Triples (A Palmer) - Raffle</t>
  </si>
  <si>
    <t>Move to Friday</t>
  </si>
  <si>
    <t>Drill bit, blades/discs, cleaning brush, pencils</t>
  </si>
  <si>
    <t>Number of extra collections (one a month) TBA by RH/Committee</t>
  </si>
  <si>
    <t>Black Ink (s/b under Stationery)</t>
  </si>
  <si>
    <t>Envelopes (s/b under Stationery)</t>
  </si>
  <si>
    <t>Brush Cassette</t>
  </si>
  <si>
    <t>Water Pump Unit</t>
  </si>
  <si>
    <t>Spring</t>
  </si>
  <si>
    <t>Winter</t>
  </si>
  <si>
    <t>Stationery &amp; Prizes</t>
  </si>
  <si>
    <t>QUIZ NIGHTS</t>
  </si>
  <si>
    <t>Misc Income</t>
  </si>
  <si>
    <t>Gross Income &amp; Expenditure Surplus excl Depreciation</t>
  </si>
  <si>
    <t>Xtra collection - Dec</t>
  </si>
  <si>
    <t>Total Income &amp; Expenditure (excl New Machinery)</t>
  </si>
  <si>
    <t>Opening Balances</t>
  </si>
  <si>
    <t>Inc &amp; Exp</t>
  </si>
  <si>
    <t>RACE NIGHT</t>
  </si>
  <si>
    <t>Depreciation</t>
  </si>
  <si>
    <t>Net Inc &amp; Exp</t>
  </si>
  <si>
    <t>Bank Accounts</t>
  </si>
  <si>
    <t>Income &amp; Expenditure Summary</t>
  </si>
  <si>
    <t>Other Income/Expenditure</t>
  </si>
  <si>
    <t>Scottish Widows Interest @ 0.01%</t>
  </si>
  <si>
    <t>Scarifier</t>
  </si>
  <si>
    <t>OTHER INCOME / EXPENDITURE</t>
  </si>
  <si>
    <t>Total</t>
  </si>
  <si>
    <t>Ditch Linings</t>
  </si>
  <si>
    <t>Diff</t>
  </si>
  <si>
    <t xml:space="preserve">BOWLING ACTIVITIES </t>
  </si>
  <si>
    <t>Inc &amp; Exp Surplus</t>
  </si>
  <si>
    <t>Total Inc &amp; Exp Net Total</t>
  </si>
  <si>
    <t>Less to Fixed Assets</t>
  </si>
  <si>
    <t>BOWLING ACTIVITIES Net  Total</t>
  </si>
  <si>
    <t>NON-BOWLING ACTIVITIES Net Total</t>
  </si>
  <si>
    <r>
      <rPr>
        <b/>
        <sz val="11"/>
        <color rgb="FFFF0000"/>
        <rFont val="Calibri"/>
        <family val="2"/>
        <scheme val="minor"/>
      </rPr>
      <t>-£240</t>
    </r>
    <r>
      <rPr>
        <sz val="11"/>
        <color theme="1"/>
        <rFont val="Calibri"/>
        <family val="2"/>
        <scheme val="minor"/>
      </rPr>
      <t xml:space="preserve"> Scarifier</t>
    </r>
  </si>
  <si>
    <r>
      <rPr>
        <b/>
        <sz val="11"/>
        <color rgb="FFFF0000"/>
        <rFont val="Calibri"/>
        <family val="2"/>
        <scheme val="minor"/>
      </rPr>
      <t>-£500</t>
    </r>
    <r>
      <rPr>
        <sz val="11"/>
        <color theme="1"/>
        <rFont val="Calibri"/>
        <family val="2"/>
        <scheme val="minor"/>
      </rPr>
      <t xml:space="preserve"> Sprinkler system sprout</t>
    </r>
  </si>
  <si>
    <t>Viridor advised that a 3.8% increase will be applied from 01.01.2017</t>
  </si>
  <si>
    <t>As and when required</t>
  </si>
  <si>
    <t>Instrata</t>
  </si>
  <si>
    <t>1x3ltrs</t>
  </si>
  <si>
    <t>PH Buffer</t>
  </si>
  <si>
    <t>1x1ltr</t>
  </si>
  <si>
    <t>Prestige Super Establisher 3-1-4</t>
  </si>
  <si>
    <t xml:space="preserve">3x20kg </t>
  </si>
  <si>
    <t>April May June July August September</t>
  </si>
  <si>
    <t>Revolution Monthly 3Ltrs</t>
  </si>
  <si>
    <t>2x10trs</t>
  </si>
  <si>
    <t>October</t>
  </si>
  <si>
    <t>Prestige Fine Turf k booster 5-0-28</t>
  </si>
  <si>
    <t>2x25kg</t>
  </si>
  <si>
    <t>April</t>
  </si>
  <si>
    <t>Prestige Fine Turf Longevity 14-2-6</t>
  </si>
  <si>
    <t>Vitax Enhance 15-2-6+MgO</t>
  </si>
  <si>
    <t>2x20kg</t>
  </si>
  <si>
    <t>Bar Platinum Grass Seed</t>
  </si>
  <si>
    <t>1x20kg</t>
  </si>
  <si>
    <t>Bar Extreme Grass Seed</t>
  </si>
  <si>
    <t>1x5kg</t>
  </si>
  <si>
    <t>Tank Defomer</t>
  </si>
  <si>
    <t>June July Aug</t>
  </si>
  <si>
    <t>January</t>
  </si>
  <si>
    <t>Heptasol</t>
  </si>
  <si>
    <t>1x12.5kg</t>
  </si>
  <si>
    <t>February</t>
  </si>
  <si>
    <t>Vitax Enhance 5-2-15+MgO</t>
  </si>
  <si>
    <t>December</t>
  </si>
  <si>
    <t>Medallion TL</t>
  </si>
  <si>
    <t>1X3ltrs</t>
  </si>
  <si>
    <t>Prestige Soil Conditioner</t>
  </si>
  <si>
    <t>3x20kg</t>
  </si>
  <si>
    <t>4x25kg</t>
  </si>
  <si>
    <t>2x5ltrs</t>
  </si>
  <si>
    <t>Amino-Sorb Root Monthly 5ltr</t>
  </si>
  <si>
    <t>2016 Actual</t>
  </si>
  <si>
    <t>Reasons for Major Variances</t>
  </si>
  <si>
    <t>Estimated Bank Accounts Balances</t>
  </si>
  <si>
    <t>Misc Equipment</t>
  </si>
  <si>
    <t>Shed for water pump</t>
  </si>
  <si>
    <t>Cutting discs for water pump</t>
  </si>
  <si>
    <t>Slabs &amp; sand related to Water tank</t>
  </si>
  <si>
    <t>Metal cutting discs</t>
  </si>
  <si>
    <t>Sharp sand (10)</t>
  </si>
  <si>
    <t>Cement</t>
  </si>
  <si>
    <r>
      <rPr>
        <b/>
        <sz val="11"/>
        <color rgb="FFFF0000"/>
        <rFont val="Calibri"/>
        <family val="2"/>
        <scheme val="minor"/>
      </rPr>
      <t>-£257</t>
    </r>
    <r>
      <rPr>
        <sz val="11"/>
        <color theme="1"/>
        <rFont val="Calibri"/>
        <family val="2"/>
        <scheme val="minor"/>
      </rPr>
      <t xml:space="preserve"> Water Tank</t>
    </r>
  </si>
  <si>
    <r>
      <rPr>
        <b/>
        <sz val="11"/>
        <color rgb="FFFF0000"/>
        <rFont val="Calibri"/>
        <family val="2"/>
        <scheme val="minor"/>
      </rPr>
      <t>-£500</t>
    </r>
    <r>
      <rPr>
        <sz val="11"/>
        <rFont val="Calibri"/>
        <family val="2"/>
        <scheme val="minor"/>
      </rPr>
      <t xml:space="preserve"> Addn </t>
    </r>
    <r>
      <rPr>
        <sz val="11"/>
        <color theme="1"/>
        <rFont val="Calibri"/>
        <family val="2"/>
        <scheme val="minor"/>
      </rPr>
      <t xml:space="preserve">Pesticides
</t>
    </r>
    <r>
      <rPr>
        <b/>
        <sz val="11"/>
        <color rgb="FFFF0000"/>
        <rFont val="Calibri"/>
        <family val="2"/>
        <scheme val="minor"/>
      </rPr>
      <t>-£350</t>
    </r>
    <r>
      <rPr>
        <sz val="11"/>
        <color theme="1"/>
        <rFont val="Calibri"/>
        <family val="2"/>
        <scheme val="minor"/>
      </rPr>
      <t xml:space="preserve"> Biennial Mower major service</t>
    </r>
  </si>
  <si>
    <t>ACTUAL</t>
  </si>
  <si>
    <t>2016
ACTUAL</t>
  </si>
  <si>
    <t>2017
BUDGET</t>
  </si>
  <si>
    <t>Bowling Activities - Income</t>
  </si>
  <si>
    <t>Bowling Activities - Expenditure</t>
  </si>
  <si>
    <t>Non-Bowling Activities - Income</t>
  </si>
  <si>
    <t>Net Inc &amp; Exp Surplus</t>
  </si>
  <si>
    <t>Inc &amp; Exp Surplus before Depreciation</t>
  </si>
  <si>
    <t>BUDGET SUMMARY</t>
  </si>
  <si>
    <t>Net Inc &amp; Exp Surplus, after Depreciation</t>
  </si>
  <si>
    <t>2017 CONDENCED BUDGET SUMMARY</t>
  </si>
  <si>
    <t>Subscriptions Down</t>
  </si>
  <si>
    <t>Additional pesticides</t>
  </si>
  <si>
    <t>Mower biennial major service</t>
  </si>
  <si>
    <t>New sprinkler sprout</t>
  </si>
  <si>
    <t>No Race Night</t>
  </si>
  <si>
    <t>Additional LAV contribution</t>
  </si>
  <si>
    <t>Materials related to water tank</t>
  </si>
  <si>
    <t>Sub Total</t>
  </si>
  <si>
    <t>Depreciation - Water Tank</t>
  </si>
  <si>
    <t>Depreciation - Scarifier</t>
  </si>
  <si>
    <t>Depreciation - Ditch Linings</t>
  </si>
  <si>
    <t>2017 Changes</t>
  </si>
  <si>
    <t>Net</t>
  </si>
  <si>
    <t>Above 2017 Changes - Summarised</t>
  </si>
  <si>
    <t>NEW DEPRECIATION</t>
  </si>
  <si>
    <t>NB</t>
  </si>
  <si>
    <t>Race Night not to be run in 2017</t>
  </si>
  <si>
    <t>Addn Depreciation on equip purchased in 2017</t>
  </si>
  <si>
    <r>
      <rPr>
        <b/>
        <sz val="11"/>
        <color theme="1"/>
        <rFont val="Calibri"/>
        <family val="2"/>
        <scheme val="minor"/>
      </rPr>
      <t>£172</t>
    </r>
    <r>
      <rPr>
        <sz val="11"/>
        <color theme="1"/>
        <rFont val="Calibri"/>
        <family val="2"/>
        <scheme val="minor"/>
      </rPr>
      <t xml:space="preserve"> Other</t>
    </r>
  </si>
  <si>
    <r>
      <rPr>
        <b/>
        <sz val="11"/>
        <color rgb="FFFF0000"/>
        <rFont val="Calibri"/>
        <family val="2"/>
        <scheme val="minor"/>
      </rPr>
      <t>-£2,246</t>
    </r>
    <r>
      <rPr>
        <sz val="11"/>
        <color theme="1"/>
        <rFont val="Calibri"/>
        <family val="2"/>
        <scheme val="minor"/>
      </rPr>
      <t xml:space="preserve"> Race Night
</t>
    </r>
    <r>
      <rPr>
        <b/>
        <sz val="11"/>
        <color theme="1"/>
        <rFont val="Calibri"/>
        <family val="2"/>
        <scheme val="minor"/>
      </rPr>
      <t>+£1,000</t>
    </r>
    <r>
      <rPr>
        <sz val="11"/>
        <color theme="1"/>
        <rFont val="Calibri"/>
        <family val="2"/>
        <scheme val="minor"/>
      </rPr>
      <t xml:space="preserve"> LAV Extra
</t>
    </r>
    <r>
      <rPr>
        <b/>
        <sz val="11"/>
        <color rgb="FFFF0000"/>
        <rFont val="Calibri"/>
        <family val="2"/>
        <scheme val="minor"/>
      </rPr>
      <t xml:space="preserve">-£287 </t>
    </r>
    <r>
      <rPr>
        <sz val="11"/>
        <color theme="1"/>
        <rFont val="Calibri"/>
        <family val="2"/>
        <scheme val="minor"/>
      </rPr>
      <t>Other</t>
    </r>
  </si>
  <si>
    <r>
      <rPr>
        <b/>
        <sz val="11"/>
        <color rgb="FFFF0000"/>
        <rFont val="Calibri"/>
        <family val="2"/>
        <scheme val="minor"/>
      </rPr>
      <t>-£192</t>
    </r>
    <r>
      <rPr>
        <sz val="11"/>
        <color theme="1"/>
        <rFont val="Calibri"/>
        <family val="2"/>
        <scheme val="minor"/>
      </rPr>
      <t xml:space="preserve"> Ditch Linings</t>
    </r>
  </si>
  <si>
    <t>£ 1,178</t>
  </si>
  <si>
    <r>
      <rPr>
        <b/>
        <sz val="11"/>
        <color rgb="FFFF0000"/>
        <rFont val="Calibri"/>
        <family val="2"/>
        <scheme val="minor"/>
      </rPr>
      <t xml:space="preserve">-£165 </t>
    </r>
    <r>
      <rPr>
        <sz val="11"/>
        <color theme="1"/>
        <rFont val="Calibri"/>
        <family val="2"/>
        <scheme val="minor"/>
      </rPr>
      <t xml:space="preserve">Subs down
</t>
    </r>
    <r>
      <rPr>
        <b/>
        <sz val="11"/>
        <color theme="1"/>
        <rFont val="Calibri"/>
        <family val="2"/>
        <scheme val="minor"/>
      </rPr>
      <t>£19</t>
    </r>
    <r>
      <rPr>
        <sz val="11"/>
        <color theme="1"/>
        <rFont val="Calibri"/>
        <family val="2"/>
        <scheme val="minor"/>
      </rPr>
      <t xml:space="preserve"> Other</t>
    </r>
  </si>
  <si>
    <r>
      <rPr>
        <b/>
        <sz val="11"/>
        <color rgb="FFFF0000"/>
        <rFont val="Calibri"/>
        <family val="2"/>
        <scheme val="minor"/>
      </rPr>
      <t xml:space="preserve">-£760 </t>
    </r>
    <r>
      <rPr>
        <sz val="11"/>
        <color theme="1"/>
        <rFont val="Calibri"/>
        <family val="2"/>
        <scheme val="minor"/>
      </rPr>
      <t xml:space="preserve">related to water tank
</t>
    </r>
    <r>
      <rPr>
        <b/>
        <sz val="11"/>
        <color rgb="FFFF0000"/>
        <rFont val="Calibri"/>
        <family val="2"/>
        <scheme val="minor"/>
      </rPr>
      <t>-£137</t>
    </r>
    <r>
      <rPr>
        <sz val="11"/>
        <rFont val="Calibri"/>
        <family val="2"/>
        <scheme val="minor"/>
      </rPr>
      <t xml:space="preserve"> Other</t>
    </r>
  </si>
  <si>
    <t>Capital Expenditure Budget</t>
  </si>
  <si>
    <t>Sprinkler System</t>
  </si>
  <si>
    <t>2017 Actual</t>
  </si>
  <si>
    <t>BUDGET</t>
  </si>
  <si>
    <t>Actual</t>
  </si>
  <si>
    <t>Budget</t>
  </si>
  <si>
    <t>November</t>
  </si>
  <si>
    <t>March</t>
  </si>
  <si>
    <t>INSURANCE</t>
  </si>
  <si>
    <t>Friendly v Sawtry</t>
  </si>
  <si>
    <t>Printing ink</t>
  </si>
  <si>
    <t>Score Cards</t>
  </si>
  <si>
    <t>Laminate</t>
  </si>
  <si>
    <t>A4 Card for plant labels</t>
  </si>
  <si>
    <t>Peterborough &amp; District Bowls League</t>
  </si>
  <si>
    <t>Paid by members of the team</t>
  </si>
  <si>
    <t>Team</t>
  </si>
  <si>
    <t>Details</t>
  </si>
  <si>
    <t>2 x bowls gathers</t>
  </si>
  <si>
    <t>£45 each</t>
  </si>
  <si>
    <t>Cole (Olwen)</t>
  </si>
  <si>
    <t>Fordham (Ian)</t>
  </si>
  <si>
    <t>Oliphant (Brian)</t>
  </si>
  <si>
    <t>Whitney (Carl)</t>
  </si>
  <si>
    <t>Mini Pairs</t>
  </si>
  <si>
    <t>Z Full Season Practice</t>
  </si>
  <si>
    <t>Friendly v Bretton</t>
  </si>
  <si>
    <t>Friendly v Itter Park</t>
  </si>
  <si>
    <t>Friendly v Empingham</t>
  </si>
  <si>
    <t xml:space="preserve">Home games </t>
  </si>
  <si>
    <t>Probus 02 Pairs</t>
  </si>
  <si>
    <t>Prices</t>
  </si>
  <si>
    <t>Lawn Sand</t>
  </si>
  <si>
    <t>In Payment of</t>
  </si>
  <si>
    <t>Prestige Armoir + 9% Fe +4.5%Mgo + Seaweed</t>
  </si>
  <si>
    <t>Rigel-G Plant Conditioner Orion</t>
  </si>
  <si>
    <t>Sale of metal water tank</t>
  </si>
  <si>
    <t>PGM</t>
  </si>
  <si>
    <t>Hortech Systems</t>
  </si>
  <si>
    <t>Coasters</t>
  </si>
  <si>
    <t>Did not take place</t>
  </si>
  <si>
    <t>Gross Surplus</t>
  </si>
  <si>
    <t>Net Surplus</t>
  </si>
  <si>
    <t>Sunday - Friday</t>
  </si>
  <si>
    <t>Inc &amp; Exp Item</t>
  </si>
  <si>
    <t>Austins Summer Drink</t>
  </si>
  <si>
    <t>Raffle Prizes all thru 2017</t>
  </si>
  <si>
    <t>Sprinkler spares</t>
  </si>
  <si>
    <t>Summary</t>
  </si>
  <si>
    <t>Intended not to be loss or surplus</t>
  </si>
  <si>
    <t>Excl Hall Hire</t>
  </si>
  <si>
    <t>Comp Tickets</t>
  </si>
  <si>
    <t>Horses</t>
  </si>
  <si>
    <t>Races</t>
  </si>
  <si>
    <t>Champagne</t>
  </si>
  <si>
    <t>Items Auctioned</t>
  </si>
  <si>
    <t>Auction Race</t>
  </si>
  <si>
    <t>Heads &amp; Tails</t>
  </si>
  <si>
    <t>Jackpot</t>
  </si>
  <si>
    <t>Donation</t>
  </si>
  <si>
    <t>Tote</t>
  </si>
  <si>
    <t>Paper &amp; Printing</t>
  </si>
  <si>
    <t>DVD / Films</t>
  </si>
  <si>
    <t>Raffle prizes</t>
  </si>
  <si>
    <t>Helpers</t>
  </si>
  <si>
    <t>6 x Races</t>
  </si>
  <si>
    <t>Not held</t>
  </si>
  <si>
    <t>Paid Jan 2018</t>
  </si>
  <si>
    <t>General catering</t>
  </si>
  <si>
    <t>Fish &amp; Chips
(2017 April)
(Jul 2018)</t>
  </si>
  <si>
    <t>Date Banked</t>
  </si>
  <si>
    <t>Debit</t>
  </si>
  <si>
    <t>Quarter</t>
  </si>
  <si>
    <t>Actual Total</t>
  </si>
  <si>
    <t>Fish &amp; Chip</t>
  </si>
  <si>
    <t>Returned keys</t>
  </si>
  <si>
    <t>Connections for water tank overflow</t>
  </si>
  <si>
    <t>Grass marker</t>
  </si>
  <si>
    <t>Compost for flower tubs</t>
  </si>
  <si>
    <t>Filter for water heater</t>
  </si>
  <si>
    <t>4 x door stops</t>
  </si>
  <si>
    <t>Weeder tool</t>
  </si>
  <si>
    <t>Cash box</t>
  </si>
  <si>
    <t>Fencing for neighbour</t>
  </si>
  <si>
    <t>Fencing for water tank</t>
  </si>
  <si>
    <t>Piping for water tank</t>
  </si>
  <si>
    <t>Angle grinder (RH's broken)</t>
  </si>
  <si>
    <t>Sharp sand for resetting paving slabs</t>
  </si>
  <si>
    <t>GENERAL CATERING</t>
  </si>
  <si>
    <t>2017-06 - Charity Day - Strawberry Tea Catering</t>
  </si>
  <si>
    <t>2017-09 - Soft Drinks - John Constable</t>
  </si>
  <si>
    <t>3 rolls for RH, SMC, RJ - water tank</t>
  </si>
  <si>
    <t>AGM catering</t>
  </si>
  <si>
    <t>Biscuits &amp;/or Sugar &amp;/or Milk and the like</t>
  </si>
  <si>
    <t>Biscuits &amp;/or Milk - Mini League</t>
  </si>
  <si>
    <t>League Dinner</t>
  </si>
  <si>
    <t>Article in 'In and Around Peterborough'</t>
  </si>
  <si>
    <t>Christmas present for Kirsty - Post Office</t>
  </si>
  <si>
    <t>Committee Dinner</t>
  </si>
  <si>
    <t>Presentation R Jackson</t>
  </si>
  <si>
    <t>Credit</t>
  </si>
  <si>
    <t>Balgarnie AJ &amp; SF</t>
  </si>
  <si>
    <t>Jackson R (Exps)</t>
  </si>
  <si>
    <t>McGill S (Exp)</t>
  </si>
  <si>
    <t>Venters B (Exps)</t>
  </si>
  <si>
    <t>J W Limming Ltd</t>
  </si>
  <si>
    <t>Fixing items</t>
  </si>
  <si>
    <t>2 x Memorial Plaques</t>
  </si>
  <si>
    <t>MEMORIAL BENCHES</t>
  </si>
  <si>
    <t>3 x Parasold</t>
  </si>
  <si>
    <t>New Equipment</t>
  </si>
  <si>
    <t>Total Income &amp; Expenditure ex Mchy</t>
  </si>
  <si>
    <t>Balance as at 31st December</t>
  </si>
  <si>
    <t>Spreader (depreciated 100% as at 31/12/2017)</t>
  </si>
  <si>
    <t>Sprayer (depreciated 100% as at 31/12/2017)</t>
  </si>
  <si>
    <t>Go back to Summary</t>
  </si>
  <si>
    <t>Material for above</t>
  </si>
  <si>
    <t>Less Machinery &amp; Tea Room to Fixed Assets (From New Equipment above)</t>
  </si>
  <si>
    <t>Estimated Bank Balances as at 31st December 2018</t>
  </si>
  <si>
    <t>Estimated Balance as at 31/12/2018</t>
  </si>
  <si>
    <t>Social</t>
  </si>
  <si>
    <t>Full</t>
  </si>
  <si>
    <t>As this item is an in and out item, have put in an arbitrary amount of …………..</t>
  </si>
  <si>
    <t>Interest</t>
  </si>
  <si>
    <t>Scarifier Brush Cassette</t>
  </si>
  <si>
    <t>Scarifier Brush</t>
  </si>
  <si>
    <t>Clifton Rubber Co</t>
  </si>
  <si>
    <t>Barn Garden &amp; Aquatic Centre</t>
  </si>
  <si>
    <t>Barn</t>
  </si>
  <si>
    <t>2 x Plaques</t>
  </si>
  <si>
    <t>1 x Plaque for memorial bench</t>
  </si>
  <si>
    <t>2 x Memorial Benches</t>
  </si>
  <si>
    <t>3.96% incr</t>
  </si>
  <si>
    <t>Viridor advised that a 3.96 increase will be applied from 01.03.2018</t>
  </si>
  <si>
    <t>Rosettes</t>
  </si>
  <si>
    <t>Interest from Yorkshire Bank - Savings</t>
  </si>
  <si>
    <t>Bank Interest incl in inc &amp; exp</t>
  </si>
  <si>
    <t>Total Depr to 31/12/2019</t>
  </si>
  <si>
    <t>Store Room</t>
  </si>
  <si>
    <t>NET ASSET VALUES as at 31/12/2019</t>
  </si>
  <si>
    <t>2019 CAPITAL EQUIPMENT BUDGET</t>
  </si>
  <si>
    <t>Clulow (Ian)</t>
  </si>
  <si>
    <t>Clulow (Pauline)</t>
  </si>
  <si>
    <t>Longworth (David)</t>
  </si>
  <si>
    <t>Longworth (Susan)</t>
  </si>
  <si>
    <t>Weld (Colin)</t>
  </si>
  <si>
    <t>Soil Test</t>
  </si>
  <si>
    <t>League - Mid Week Saxons</t>
  </si>
  <si>
    <t>League - Mid Week Romans</t>
  </si>
  <si>
    <t>Pres League Finals</t>
  </si>
  <si>
    <t>Probus Shield</t>
  </si>
  <si>
    <t>Training / Practice</t>
  </si>
  <si>
    <t>New engine for spiker</t>
  </si>
  <si>
    <t>Spark Plug</t>
  </si>
  <si>
    <t>Bowls Drive Discs</t>
  </si>
  <si>
    <t>Bowls Roll Up Discs</t>
  </si>
  <si>
    <t>Withdrawn</t>
  </si>
  <si>
    <t>Dec Quiz</t>
  </si>
  <si>
    <t>Vars thru year</t>
  </si>
  <si>
    <t>Friendly Home - Crowland</t>
  </si>
  <si>
    <t>Crate carriage</t>
  </si>
  <si>
    <t>2018 Actual</t>
  </si>
  <si>
    <t>2019 Budget</t>
  </si>
  <si>
    <t>NOT HELD</t>
  </si>
  <si>
    <t>100 Quiz (???? not being run 2019)</t>
  </si>
  <si>
    <t>Drawn Mixed Pairs</t>
  </si>
  <si>
    <t>CCTV Installation</t>
  </si>
  <si>
    <t>Water tank ball cock replacements</t>
  </si>
  <si>
    <t>Caution signs</t>
  </si>
  <si>
    <t>Edger line &amp; spool covers</t>
  </si>
  <si>
    <t>Honours Board letters</t>
  </si>
  <si>
    <t>Dismantle tree to ground level (2019 fill fence gap)</t>
  </si>
  <si>
    <t>Fence &amp; paving for wheelie park</t>
  </si>
  <si>
    <t>Paving slabs (2019 east side path)</t>
  </si>
  <si>
    <t>3.5% incr</t>
  </si>
  <si>
    <t>No expenses anticipated</t>
  </si>
  <si>
    <t>P&amp;D League Finals</t>
  </si>
  <si>
    <t>Anticipated</t>
  </si>
  <si>
    <t>New Store Building</t>
  </si>
  <si>
    <t>43a</t>
  </si>
  <si>
    <t>Store Building</t>
  </si>
  <si>
    <t>New Store Room To Fixed Assets</t>
  </si>
  <si>
    <t>FOR THE PERIOD 1 JANUARY 2019 TO 31 DECEMBER 2019</t>
  </si>
  <si>
    <r>
      <t>INCOME &amp; EXPENDITURE ACCOUNTS -</t>
    </r>
    <r>
      <rPr>
        <b/>
        <sz val="12"/>
        <color rgb="FFFF0000"/>
        <rFont val="Calibri"/>
        <family val="2"/>
        <scheme val="minor"/>
      </rPr>
      <t xml:space="preserve"> BUDGET</t>
    </r>
    <r>
      <rPr>
        <b/>
        <sz val="12"/>
        <color theme="1"/>
        <rFont val="Calibri"/>
        <family val="2"/>
        <scheme val="minor"/>
      </rPr>
      <t xml:space="preserve"> (PREV YEARS ARE ACTUALS)</t>
    </r>
  </si>
  <si>
    <t>↓</t>
  </si>
  <si>
    <t>For 2019 have assumed a 3.5% increase</t>
  </si>
  <si>
    <t>Column O</t>
  </si>
  <si>
    <t>Building</t>
  </si>
  <si>
    <t>3 x 20kg</t>
  </si>
  <si>
    <t>2 x 20kg</t>
  </si>
  <si>
    <t>Vitax - Early Start Vitax</t>
  </si>
  <si>
    <t>1 x 20kg</t>
  </si>
  <si>
    <t>1 x 5kg</t>
  </si>
  <si>
    <t>2 x 25kg</t>
  </si>
  <si>
    <t>Outcast</t>
  </si>
  <si>
    <t>1 x 10ltr</t>
  </si>
  <si>
    <t>2018 inc VAT</t>
  </si>
  <si>
    <t>3 x 25kg</t>
  </si>
  <si>
    <t>Enhance R S/S 15:2:8 +MgO+TE</t>
  </si>
  <si>
    <t>1 x 3ltr</t>
  </si>
  <si>
    <t>2 x 5ltr</t>
  </si>
  <si>
    <t>1 x 1ltr</t>
  </si>
  <si>
    <t>Seamate FE (plus iron) 4.54kg Barclays</t>
  </si>
  <si>
    <t>Aquatrols Aqueduct Flex</t>
  </si>
  <si>
    <r>
      <t xml:space="preserve">Bar Extreme Barenbrug - </t>
    </r>
    <r>
      <rPr>
        <sz val="11"/>
        <color rgb="FFFF0000"/>
        <rFont val="Calibri"/>
        <family val="2"/>
        <scheme val="minor"/>
      </rPr>
      <t>zero vat</t>
    </r>
  </si>
  <si>
    <r>
      <t xml:space="preserve">Bar Platinum Barenbrug - </t>
    </r>
    <r>
      <rPr>
        <sz val="11"/>
        <color rgb="FFFF0000"/>
        <rFont val="Calibri"/>
        <family val="2"/>
        <scheme val="minor"/>
      </rPr>
      <t>zero vat</t>
    </r>
  </si>
  <si>
    <t>Instrata Syngenta</t>
  </si>
  <si>
    <t>Balance will always be nil</t>
  </si>
  <si>
    <t>Password: 4 recip</t>
  </si>
  <si>
    <t>Click here to Return to Summary</t>
  </si>
  <si>
    <t>Mower (depreciated 100% as at 31/12/2018)</t>
  </si>
  <si>
    <t>Mower Brush (depreciated 100% as at 31/12/2018)</t>
  </si>
  <si>
    <t>Charity Donations - East Anglian Children’s Hospices</t>
  </si>
  <si>
    <t>Charity Donations - 2019 TBC</t>
  </si>
  <si>
    <t>BOWLING ACTIVITIES</t>
  </si>
  <si>
    <t>Transfer to Fixed Assets (New Store Building)</t>
  </si>
  <si>
    <t>Comps to be run in 2019</t>
  </si>
  <si>
    <t>Excl Saxons</t>
  </si>
  <si>
    <t>May need repairs on faulty sprinkler</t>
  </si>
  <si>
    <t>Confirmed with RAH</t>
  </si>
  <si>
    <t>Possible incr due to new building</t>
  </si>
  <si>
    <t>Added in Wheelie Park £300, Pavilions non slip £355</t>
  </si>
  <si>
    <r>
      <t xml:space="preserve">2019 INCOME &amp; EXPENDITURE </t>
    </r>
    <r>
      <rPr>
        <b/>
        <sz val="11"/>
        <color rgb="FFFF0000"/>
        <rFont val="Calibri"/>
        <family val="2"/>
        <scheme val="minor"/>
      </rPr>
      <t>BUDGET</t>
    </r>
  </si>
  <si>
    <t>Confirmed by LCA</t>
  </si>
  <si>
    <t>Possible incr due to new building (&amp; LCA sewage!!)</t>
  </si>
  <si>
    <t>Fixed Asset - Should come within this figure</t>
  </si>
  <si>
    <t>Charity to be named</t>
  </si>
  <si>
    <t>Depreciated by 5% pa</t>
  </si>
  <si>
    <r>
      <t>Mower</t>
    </r>
    <r>
      <rPr>
        <sz val="12"/>
        <color rgb="FFFF0000"/>
        <rFont val="Calibri"/>
        <family val="2"/>
        <scheme val="minor"/>
      </rPr>
      <t xml:space="preserve"> (depreciated 100% as at 31/12/2018)</t>
    </r>
  </si>
  <si>
    <r>
      <t>Spreader</t>
    </r>
    <r>
      <rPr>
        <sz val="12"/>
        <color rgb="FFFF0000"/>
        <rFont val="Calibri"/>
        <family val="2"/>
        <scheme val="minor"/>
      </rPr>
      <t xml:space="preserve"> (depreciated 100% as at 31/12/2017)</t>
    </r>
  </si>
  <si>
    <r>
      <t xml:space="preserve">Sprayer </t>
    </r>
    <r>
      <rPr>
        <sz val="12"/>
        <color rgb="FFFF0000"/>
        <rFont val="Calibri"/>
        <family val="2"/>
        <scheme val="minor"/>
      </rPr>
      <t>(depreciated 100% as at 31/12/2017)</t>
    </r>
  </si>
  <si>
    <r>
      <t>Mower Brush</t>
    </r>
    <r>
      <rPr>
        <sz val="12"/>
        <color rgb="FFFF0000"/>
        <rFont val="Calibri"/>
        <family val="2"/>
        <scheme val="minor"/>
      </rPr>
      <t xml:space="preserve"> (depreciated 100% as at 31/12/2018)</t>
    </r>
  </si>
  <si>
    <t>Taken a positive view on new &amp; renewals</t>
  </si>
  <si>
    <t>Exps not incurred 2018, comps to be run 2019</t>
  </si>
  <si>
    <r>
      <t xml:space="preserve">Less items to </t>
    </r>
    <r>
      <rPr>
        <b/>
        <sz val="12"/>
        <color rgb="FFFF0000"/>
        <rFont val="Calibri"/>
        <family val="2"/>
        <scheme val="minor"/>
      </rPr>
      <t>Fixed Assets</t>
    </r>
    <r>
      <rPr>
        <b/>
        <sz val="12"/>
        <color theme="1"/>
        <rFont val="Calibri"/>
        <family val="2"/>
        <scheme val="minor"/>
      </rPr>
      <t xml:space="preserve"> (From above)</t>
    </r>
  </si>
  <si>
    <t>CAPITAL EQUIPMENT</t>
  </si>
  <si>
    <t>Capital Equipment</t>
  </si>
  <si>
    <t>New Store Building - Cost</t>
  </si>
  <si>
    <t>New Store Building - Planning Fees</t>
  </si>
  <si>
    <t>Capital Equipment Total</t>
  </si>
  <si>
    <t>CAPITAL EQUIPMENT Total</t>
  </si>
  <si>
    <t>Charity Donations</t>
  </si>
  <si>
    <t>Skate (Doug)</t>
  </si>
  <si>
    <t>Drawn Triples</t>
  </si>
  <si>
    <t>Pres vs Chair</t>
  </si>
  <si>
    <t>Drive - Summer Bowls Drive</t>
  </si>
  <si>
    <t>Drive - Spring Bowls Drive</t>
  </si>
  <si>
    <t>League - Practice</t>
  </si>
  <si>
    <t>Drive - Autumn Bowls Drive</t>
  </si>
  <si>
    <t>League - Mick Lewin</t>
  </si>
  <si>
    <t>Final / Sept Bowls Drive</t>
  </si>
  <si>
    <t>2019 Actual</t>
  </si>
  <si>
    <t>GREEN MAINTENANCE EXPENSES</t>
  </si>
  <si>
    <t>Total Cost incl VAT</t>
  </si>
  <si>
    <t>2018 Expenses</t>
  </si>
  <si>
    <t>Container Size</t>
  </si>
  <si>
    <t>Month Paid</t>
  </si>
  <si>
    <t>Exp Doc</t>
  </si>
  <si>
    <t>Quantity Purchased</t>
  </si>
  <si>
    <t>Cost per unit excl VAT</t>
  </si>
  <si>
    <t>Incr Exps over 2018</t>
  </si>
  <si>
    <t>5 kg</t>
  </si>
  <si>
    <t>Bar Extreme (no VAT)</t>
  </si>
  <si>
    <t>Bar Platinum (no VAT)</t>
  </si>
  <si>
    <t>Prestige Super Establisher</t>
  </si>
  <si>
    <t>Prestige W Soil conditioner</t>
  </si>
  <si>
    <t>Prestige Fine Turf Booster 5.0.28</t>
  </si>
  <si>
    <t>Prestige Armour</t>
  </si>
  <si>
    <t>Vitax Enhance 5.2.15</t>
  </si>
  <si>
    <t>Prestige Fine Turf Longevity 14.2.6</t>
  </si>
  <si>
    <t>Vitax Enhance 15.2.8</t>
  </si>
  <si>
    <t>Rigel G plant conditioner</t>
  </si>
  <si>
    <t>Tank defoamer</t>
  </si>
  <si>
    <t>Outcast liqiuid</t>
  </si>
  <si>
    <t>Amino Sorb R</t>
  </si>
  <si>
    <t>Barenbrug Sport SOS (no VAT)</t>
  </si>
  <si>
    <t>Pair</t>
  </si>
  <si>
    <t>Gauntlet Nitrile (Chemicals)</t>
  </si>
  <si>
    <t>Prestige Super pH Buffer</t>
  </si>
  <si>
    <t>Prestige Super Soil Acidifier</t>
  </si>
  <si>
    <t>Chemicals &amp; Pesticides</t>
  </si>
  <si>
    <t>1 ton bags</t>
  </si>
  <si>
    <t>35 ltr</t>
  </si>
  <si>
    <t>Top Soil Dressing - for patches</t>
  </si>
  <si>
    <t>2020 Budget</t>
  </si>
  <si>
    <t>500 LBC Bowls Stickers</t>
  </si>
  <si>
    <t>National Pen</t>
  </si>
  <si>
    <t>Key</t>
  </si>
  <si>
    <t>Promotional Pens &amp; sets</t>
  </si>
  <si>
    <t>Replacing/repair sprinkler</t>
  </si>
  <si>
    <t>Tips</t>
  </si>
  <si>
    <t>Vars</t>
  </si>
  <si>
    <t>Attendance</t>
  </si>
  <si>
    <t>Cost to member</t>
  </si>
  <si>
    <t>Caterers Cost</t>
  </si>
  <si>
    <t>T/s to donations</t>
  </si>
  <si>
    <t>Cake Stall</t>
  </si>
  <si>
    <t>Ray's tomatoes</t>
  </si>
  <si>
    <t>Worm Treatment</t>
  </si>
  <si>
    <t>2020 -7 home games arranged at say 18 per match, incl opponents…rounded up</t>
  </si>
  <si>
    <t>Cxd</t>
  </si>
  <si>
    <t>£#,##0;[Red](£#,##0);£0</t>
  </si>
  <si>
    <t>CCTV cable to new store</t>
  </si>
  <si>
    <t>PIR (Replacement)</t>
  </si>
  <si>
    <t>Banana Switch &amp; spare</t>
  </si>
  <si>
    <t>Refurbishments of score boards</t>
  </si>
  <si>
    <t>Jeyes fluid</t>
  </si>
  <si>
    <t>Wood to mend Peachy bench seat</t>
  </si>
  <si>
    <t>Spanner etc</t>
  </si>
  <si>
    <t>Tree route killer</t>
  </si>
  <si>
    <t>Batteries for safe</t>
  </si>
  <si>
    <t>Notice board</t>
  </si>
  <si>
    <t>Water filter</t>
  </si>
  <si>
    <t>Poles &amp; cement for wheelie park</t>
  </si>
  <si>
    <t>Cleaning materials</t>
  </si>
  <si>
    <t>Pavilion slip resistant flooring (Slingsby)</t>
  </si>
  <si>
    <t>Grass edger line &amp;/or wire brush</t>
  </si>
  <si>
    <t>Alterations to Away Pavilion</t>
  </si>
  <si>
    <t>3% incr</t>
  </si>
  <si>
    <t>Tea &amp; Buiscuits (Probus Shield)</t>
  </si>
  <si>
    <t>Plates, bowls napkins and the like</t>
  </si>
  <si>
    <t>42 mugs</t>
  </si>
  <si>
    <t>Printing ink / General</t>
  </si>
  <si>
    <t>Carl &amp; Julie wedding card</t>
  </si>
  <si>
    <t>R Jackson &amp; B Kingston 90th Birthday cake</t>
  </si>
  <si>
    <t>Flowers for Wilson's 65th WA</t>
  </si>
  <si>
    <t>Voucher for R Ames</t>
  </si>
  <si>
    <t>Orchid for U Ames</t>
  </si>
  <si>
    <t>Flowers for Linda Dullea</t>
  </si>
  <si>
    <t>Repairs - will be General Maintenance</t>
  </si>
  <si>
    <t>Link</t>
  </si>
  <si>
    <t>£162 in 2016 (Doc 527)</t>
  </si>
  <si>
    <t>Nil</t>
  </si>
  <si>
    <t>Annual Dinner - surplus of gratuities</t>
  </si>
  <si>
    <t>Donation (Crowland)</t>
  </si>
  <si>
    <t>Sale of bowls equipment</t>
  </si>
  <si>
    <t>Friendlies (14 in 2020)</t>
  </si>
  <si>
    <t>LBC MEMBERSHIP</t>
  </si>
  <si>
    <t>Hon</t>
  </si>
  <si>
    <t>Hickey (Philip)</t>
  </si>
  <si>
    <t>2020 Actual</t>
  </si>
  <si>
    <t>Sven 1ltr</t>
  </si>
  <si>
    <t>Settled</t>
  </si>
  <si>
    <t>Sept £1,414.74</t>
  </si>
  <si>
    <t>Pavilion Tile Carpeting</t>
  </si>
  <si>
    <t>HM</t>
  </si>
  <si>
    <t>Died 2020</t>
  </si>
  <si>
    <t>DNR</t>
  </si>
  <si>
    <t>Bryan (Alan)</t>
  </si>
  <si>
    <t>Smith (Ken)</t>
  </si>
  <si>
    <t>Moved</t>
  </si>
  <si>
    <t>Benns (Gillian)</t>
  </si>
  <si>
    <t>Overell (Jenny)</t>
  </si>
  <si>
    <t>Shakespeare (Janet)</t>
  </si>
  <si>
    <t>Whitney (Julie)</t>
  </si>
  <si>
    <t>DID NOT TAKE PLACE - COVID19</t>
  </si>
  <si>
    <t>B/fwd from 2019</t>
  </si>
  <si>
    <t>Holster XL Barclay 2 ltr</t>
  </si>
  <si>
    <t>Lettering for honour boards</t>
  </si>
  <si>
    <t>Internal riser</t>
  </si>
  <si>
    <t>Locks &amp; levers for pavilion revamp</t>
  </si>
  <si>
    <t>Name stickers for wheelie bins</t>
  </si>
  <si>
    <t>Repair to hedge trimmer</t>
  </si>
  <si>
    <t>Covig19 Expenses (sanitising spray)</t>
  </si>
  <si>
    <t>Ryobi Strimmer spools (6)</t>
  </si>
  <si>
    <t>Covig19 Expenses (Sanitiser)</t>
  </si>
  <si>
    <t>Covig19 Expenses (sanitising supplies)</t>
  </si>
  <si>
    <t>Pavilion renovations</t>
  </si>
  <si>
    <t>Ceiling mount &amp; cables for projector</t>
  </si>
  <si>
    <t>9% incr</t>
  </si>
  <si>
    <r>
      <t>INCOME &amp; EXPENDITURE ACCOUNTS -</t>
    </r>
    <r>
      <rPr>
        <b/>
        <sz val="11.5"/>
        <color rgb="FFFF0000"/>
        <rFont val="Calibri"/>
        <family val="2"/>
        <scheme val="minor"/>
      </rPr>
      <t xml:space="preserve"> BUDGET</t>
    </r>
    <r>
      <rPr>
        <b/>
        <sz val="11.5"/>
        <color theme="1"/>
        <rFont val="Calibri"/>
        <family val="2"/>
        <scheme val="minor"/>
      </rPr>
      <t xml:space="preserve"> (PREV YEARS ARE ACTUALS)</t>
    </r>
  </si>
  <si>
    <t>Earl Fitz Trust</t>
  </si>
  <si>
    <t>£</t>
  </si>
  <si>
    <t>Cost Price of depreciating assets</t>
  </si>
  <si>
    <t>Sale of Notelets</t>
  </si>
  <si>
    <t>Zoom</t>
  </si>
  <si>
    <t>Website Domain &amp; Hosting &amp; Zoom</t>
  </si>
  <si>
    <t>Sand &amp; 5 bricks (Rjay donation)</t>
  </si>
  <si>
    <t>Pavilion Carpet Tiles</t>
  </si>
  <si>
    <t>Not in nos.</t>
  </si>
  <si>
    <t>New Full Members</t>
  </si>
  <si>
    <t>Charity Donations - Sue Ryder Thorpe Hall</t>
  </si>
  <si>
    <t>Charity Donations - Macmillan Cancer Support</t>
  </si>
  <si>
    <t>Viridor advised that a 10% increase will be applied from 01.04.21</t>
  </si>
  <si>
    <t>100 Quiz</t>
  </si>
  <si>
    <t>Spreader</t>
  </si>
  <si>
    <t>Sprayer</t>
  </si>
  <si>
    <t>Mower Brush</t>
  </si>
  <si>
    <t>Marquee</t>
  </si>
  <si>
    <t>2021 Actual</t>
  </si>
  <si>
    <t>Total Cost excl VAT</t>
  </si>
  <si>
    <t>Dollimore (Steve)</t>
  </si>
  <si>
    <t>Foglietta (Lorna)</t>
  </si>
  <si>
    <t>Gurney (Al)</t>
  </si>
  <si>
    <t>Merritt (Patricia)</t>
  </si>
  <si>
    <t>Murray (Rod)</t>
  </si>
  <si>
    <t>Reed (Paul)</t>
  </si>
  <si>
    <t>Scott (Sylvia)</t>
  </si>
  <si>
    <t>Smith (Pat)</t>
  </si>
  <si>
    <t>Demar (Monique)</t>
  </si>
  <si>
    <t>HMP</t>
  </si>
  <si>
    <t>HMS</t>
  </si>
  <si>
    <t>Type</t>
  </si>
  <si>
    <t>New Social Members</t>
  </si>
  <si>
    <t>Died 2021</t>
  </si>
  <si>
    <t>League - Club 60/55</t>
  </si>
  <si>
    <t>Covid no rink fees charged</t>
  </si>
  <si>
    <t>Friendlies</t>
  </si>
  <si>
    <t>Covid - Nil</t>
  </si>
  <si>
    <t>Nemasys J (Leatherjacket) 250million - Everris</t>
  </si>
  <si>
    <t>Presige Super Soil Acidifier +NWA 5lt</t>
  </si>
  <si>
    <t>Presige Fine Turf Longevity 14-2-6 25kg</t>
  </si>
  <si>
    <t>Rolls for helpers / driver gratuity +milk</t>
  </si>
  <si>
    <t>Parts - Mower front roller assembly</t>
  </si>
  <si>
    <t>Spray Chalk</t>
  </si>
  <si>
    <t>Fees not charged by P&amp;D League</t>
  </si>
  <si>
    <t>No league - Covid 19</t>
  </si>
  <si>
    <t>Team Registration - Club 55</t>
  </si>
  <si>
    <t>Team Registration - Mick Lewin</t>
  </si>
  <si>
    <t>Team Registration - Midweek</t>
  </si>
  <si>
    <t>Player Registration - Midweek</t>
  </si>
  <si>
    <t>Player Registration - Club 55</t>
  </si>
  <si>
    <t>P&amp;D League Handbooks</t>
  </si>
  <si>
    <t>Player Registrations - all</t>
  </si>
  <si>
    <t>Not held - Covid 19</t>
  </si>
  <si>
    <t>Raffle Prizes</t>
  </si>
  <si>
    <t>Caterers Cost - deposit</t>
  </si>
  <si>
    <t>Oct 14</t>
  </si>
  <si>
    <t>Oct 15</t>
  </si>
  <si>
    <t>Oct 16</t>
  </si>
  <si>
    <t>Oct 17</t>
  </si>
  <si>
    <t>Oct 18</t>
  </si>
  <si>
    <t>Oct 19</t>
  </si>
  <si>
    <t>Oct 20</t>
  </si>
  <si>
    <t>Oct 21</t>
  </si>
  <si>
    <t>Oct 22</t>
  </si>
  <si>
    <t>Electricty SME Cash Back</t>
  </si>
  <si>
    <t>50% covid discount</t>
  </si>
  <si>
    <t>ACUAL</t>
  </si>
  <si>
    <t>First Aid box update</t>
  </si>
  <si>
    <t>Edger/Strimmer line</t>
  </si>
  <si>
    <t>R Jackson presentation gifts</t>
  </si>
  <si>
    <t>Hibbard for 70 Anniversary presentation</t>
  </si>
  <si>
    <t>Charity Event and Charity Donations</t>
  </si>
  <si>
    <t>Sale of cakes</t>
  </si>
  <si>
    <t>Sale of bowls</t>
  </si>
  <si>
    <t>Lino</t>
  </si>
  <si>
    <t>PCC</t>
  </si>
  <si>
    <t>Interest from VirginMoney - Savings</t>
  </si>
  <si>
    <t>Subscriptions - Honorary Members</t>
  </si>
  <si>
    <t>Mower Cutting Cylinder</t>
  </si>
  <si>
    <t>2022 Maybe incr in charges</t>
  </si>
  <si>
    <t>Catering F&amp;C</t>
  </si>
  <si>
    <t>Hon Member - Player</t>
  </si>
  <si>
    <t>Hon Member - Non-Player/Social</t>
  </si>
  <si>
    <r>
      <t>Instrata (</t>
    </r>
    <r>
      <rPr>
        <b/>
        <sz val="11"/>
        <color rgb="FFFF0000"/>
        <rFont val="Calibri"/>
        <family val="2"/>
        <scheme val="minor"/>
      </rPr>
      <t>??? C/Fwd to 2020</t>
    </r>
    <r>
      <rPr>
        <b/>
        <sz val="11"/>
        <color theme="1"/>
        <rFont val="Calibri"/>
        <family val="2"/>
        <scheme val="minor"/>
      </rPr>
      <t>)</t>
    </r>
  </si>
  <si>
    <t>Top Soil</t>
  </si>
  <si>
    <t>Buy 3m x 8m Party Tent Marquee Roof Canopy Elite PVC (galatent.co.uk)</t>
  </si>
  <si>
    <t>New Store</t>
  </si>
  <si>
    <t>Sound Equipment</t>
  </si>
  <si>
    <t>New Equipment (Capital)</t>
  </si>
  <si>
    <t>Mower cutting cylinder</t>
  </si>
  <si>
    <t>New Equipment (Capital Equipment)</t>
  </si>
  <si>
    <t>Normally I draw £200 cash in various denominations</t>
  </si>
  <si>
    <t>This allows for floats and cash expenses required at short notice.</t>
  </si>
  <si>
    <t>Before the end of the year I deposit the £200</t>
  </si>
  <si>
    <t>Column P</t>
  </si>
  <si>
    <t>NOTES</t>
  </si>
  <si>
    <t>Depreciated 100%</t>
  </si>
  <si>
    <t>Mower - regrind &amp; replace bottom blade (at end of season)</t>
  </si>
  <si>
    <t>GREEN RENT</t>
  </si>
  <si>
    <t>After an event, petty cash is topped up/repaid with what was 'borrowed'</t>
  </si>
  <si>
    <t>Prestige Super Pest Preventor</t>
  </si>
  <si>
    <t>Oct 23</t>
  </si>
  <si>
    <t>Will not be run</t>
  </si>
  <si>
    <t>DICK - Zoom not being renewed ?</t>
  </si>
  <si>
    <t>Contractor</t>
  </si>
  <si>
    <t>KO Mens</t>
  </si>
  <si>
    <t>KO Pairs</t>
  </si>
  <si>
    <t>KO Ladies</t>
  </si>
  <si>
    <t>etc</t>
  </si>
  <si>
    <t>LCA</t>
  </si>
  <si>
    <t>SPRING/MAY</t>
  </si>
  <si>
    <t>AUTUMN/OCTOBER</t>
  </si>
  <si>
    <t>Notelets / books</t>
  </si>
  <si>
    <t>Contibution from LAV</t>
  </si>
  <si>
    <t>100 Quiz net</t>
  </si>
  <si>
    <t>No plans to run the 100 Quiz in 2018 onwards</t>
  </si>
  <si>
    <t xml:space="preserve">                                                                                   </t>
  </si>
  <si>
    <t>None</t>
  </si>
  <si>
    <t>NONE ANTICIPATED FOR 2023</t>
  </si>
  <si>
    <t>#,##0;[Red](#,##0)</t>
  </si>
  <si>
    <t>Deans (Colin)</t>
  </si>
  <si>
    <t>Deans (Elizabeth)</t>
  </si>
  <si>
    <t>Green (Ken)</t>
  </si>
  <si>
    <t>Morton (Bob)</t>
  </si>
  <si>
    <t>Portergill (Mick)</t>
  </si>
  <si>
    <t>Smith (Kelvin)</t>
  </si>
  <si>
    <t>Whitney (Cathy)</t>
  </si>
  <si>
    <t>Whitney (Stuart)</t>
  </si>
  <si>
    <t>NEW MEMBERS - FULL</t>
  </si>
  <si>
    <t>NEW MEMBERS - SOCIAL</t>
  </si>
  <si>
    <t>SHEET MAY BE PROTECTED BY A PASSWORD</t>
  </si>
  <si>
    <t>Presently not protected so no password</t>
  </si>
  <si>
    <t>Netting</t>
  </si>
  <si>
    <t>Dummy crows</t>
  </si>
  <si>
    <t>Pest preventer, soil conditioner &amp; grass seed</t>
  </si>
  <si>
    <t>4 Bags of Lawn Dressing</t>
  </si>
  <si>
    <t>Battery for sprayer</t>
  </si>
  <si>
    <t>Purchase of Club Woods</t>
  </si>
  <si>
    <t>Raffle Prizes (6 x bottles of wine)</t>
  </si>
  <si>
    <t>Raffle Prizes wine</t>
  </si>
  <si>
    <t>2022 Deposit</t>
  </si>
  <si>
    <t>Jubilee</t>
  </si>
  <si>
    <t>Fence pole, cement &amp; nails</t>
  </si>
  <si>
    <t>Descaler for Boiler</t>
  </si>
  <si>
    <t>Filters for Boiler</t>
  </si>
  <si>
    <t>Purchase of replacement Microphone</t>
  </si>
  <si>
    <t>2/1/21-3/2/22 202 cu m. Reading 4897</t>
  </si>
  <si>
    <t>Water usage 3/3/22 - 26/7/22</t>
  </si>
  <si>
    <t>2 x bins - 28/2/22</t>
  </si>
  <si>
    <t>3 uplifts for 14/15 &amp; 28 April</t>
  </si>
  <si>
    <t>4 uplifts on 9th,16th &amp; 23rd(x2) May</t>
  </si>
  <si>
    <t>Uplift 16th June 2022</t>
  </si>
  <si>
    <t>Uplift x2  27th July 2022</t>
  </si>
  <si>
    <t>Tea Room Biscuits</t>
  </si>
  <si>
    <t>Napkins</t>
  </si>
  <si>
    <t>Tear room Biscuits</t>
  </si>
  <si>
    <t>Tea room catering  GH</t>
  </si>
  <si>
    <t>General Catering for Tea Room</t>
  </si>
  <si>
    <t>Card purchase</t>
  </si>
  <si>
    <t>Photo paper</t>
  </si>
  <si>
    <t>Donation to Club</t>
  </si>
  <si>
    <t>Sale of donated bowls kit</t>
  </si>
  <si>
    <t>Re  Bob Wright</t>
  </si>
  <si>
    <t>Re Bill Wright</t>
  </si>
  <si>
    <t>Bowls Trolley purchase</t>
  </si>
  <si>
    <t>Bowls Bag purchase</t>
  </si>
  <si>
    <t>Jacket Purchase</t>
  </si>
  <si>
    <t>Coffee Mrning - Social Members</t>
  </si>
  <si>
    <t>CBS Strimmer Line</t>
  </si>
  <si>
    <t>Uplifts 18/08/22 x2 &amp; 31/08/22 x2</t>
  </si>
  <si>
    <t>ICO payment</t>
  </si>
  <si>
    <r>
      <t xml:space="preserve">ICO : CCTV Cert </t>
    </r>
    <r>
      <rPr>
        <b/>
        <sz val="11"/>
        <color rgb="FFFF0000"/>
        <rFont val="Calibri"/>
        <family val="2"/>
        <scheme val="minor"/>
      </rPr>
      <t xml:space="preserve"> (PAYMENT BY DIRECT DEBIT)</t>
    </r>
  </si>
  <si>
    <t>Club Competitions prizes - ?? Drive May</t>
  </si>
  <si>
    <t>Profit / (Loss)</t>
  </si>
  <si>
    <t>IONOS</t>
  </si>
  <si>
    <t>Key Safe &amp; keys</t>
  </si>
  <si>
    <t>Purchase of second hand bowls carrier</t>
  </si>
  <si>
    <t>2023 Deposit</t>
  </si>
  <si>
    <t>Uplifts 22/09/22 x1 &amp; 29/09/22 x2</t>
  </si>
  <si>
    <t>Bowls Jacket purchase</t>
  </si>
  <si>
    <t>Raffle Prize/Prizes</t>
  </si>
  <si>
    <t>????Cream Tea</t>
  </si>
  <si>
    <t>Uplifts 17/10/22 x1 &amp; 20/10/22 x2</t>
  </si>
  <si>
    <t>Uplifts x 2  22/11/22</t>
  </si>
  <si>
    <t>Sale of stamps</t>
  </si>
  <si>
    <t>Donations from annual dinner</t>
  </si>
  <si>
    <t>Maintenance visits</t>
  </si>
  <si>
    <t>Signage &amp; ramp</t>
  </si>
  <si>
    <t>Various</t>
  </si>
  <si>
    <t>Est 65 per Jackie</t>
  </si>
  <si>
    <t>Say 25</t>
  </si>
  <si>
    <t>Beetle Drive / Winter Social/Quiz</t>
  </si>
  <si>
    <t>Misc (?cctv maintenance)</t>
  </si>
  <si>
    <t>VARIOUS</t>
  </si>
  <si>
    <t>PAVILIONS NEED PAINTING</t>
  </si>
  <si>
    <t>Bank Charges</t>
  </si>
  <si>
    <t>Charity Event &amp; Donations</t>
  </si>
  <si>
    <t>Fixed Assets</t>
  </si>
  <si>
    <t>Gross Total excl Depreciation</t>
  </si>
  <si>
    <t>100%
Depreciated</t>
  </si>
  <si>
    <t>Gross excl Depreciaton</t>
  </si>
  <si>
    <t>BUDGETED SURPLUS/(DEFICIT)</t>
  </si>
  <si>
    <r>
      <t>NET BUDGETED SURPLUS/</t>
    </r>
    <r>
      <rPr>
        <b/>
        <sz val="11.5"/>
        <color rgb="FFFF0000"/>
        <rFont val="Calibri"/>
        <family val="2"/>
        <scheme val="minor"/>
      </rPr>
      <t>(DEFICIT)</t>
    </r>
  </si>
  <si>
    <t>New Equipment (non Capital)</t>
  </si>
  <si>
    <t>New Equipment (Non Capital)</t>
  </si>
  <si>
    <t>2023 NOT HELD</t>
  </si>
  <si>
    <t>Total Depreciation</t>
  </si>
  <si>
    <t>Ames (Ray) - HM</t>
  </si>
  <si>
    <t>Bridgefoot (Geoff) - HM</t>
  </si>
  <si>
    <t>Bryan (Jan)</t>
  </si>
  <si>
    <t>Burrows (John)</t>
  </si>
  <si>
    <t>Gamble (Margaret)</t>
  </si>
  <si>
    <t>Gill (Dick) - HM</t>
  </si>
  <si>
    <t>Jackson (Ron) - HM</t>
  </si>
  <si>
    <t>Jones (David) - HM</t>
  </si>
  <si>
    <t>Pigg (Jim) - HM</t>
  </si>
  <si>
    <t>Robson (Helen)</t>
  </si>
  <si>
    <t>Ryan (Chris)</t>
  </si>
  <si>
    <t>Ryan (Mick)</t>
  </si>
  <si>
    <t>Shakerpeare (Janet)</t>
  </si>
  <si>
    <t>Skate (Pat)</t>
  </si>
  <si>
    <t>Wedley (Pat) - HM</t>
  </si>
  <si>
    <t>White (Diane)</t>
  </si>
  <si>
    <t xml:space="preserve">   </t>
  </si>
  <si>
    <t>Oct 24</t>
  </si>
  <si>
    <t>0</t>
  </si>
  <si>
    <t>Miner (Steve)</t>
  </si>
  <si>
    <t>Wisby (Simon)</t>
  </si>
  <si>
    <t>Miller (John)</t>
  </si>
  <si>
    <t>DID NOT RENEW 2024</t>
  </si>
  <si>
    <t>NEW MEMBERS IN 2024</t>
  </si>
  <si>
    <t>Jones (Jean) -  previously social member</t>
  </si>
  <si>
    <t>Cream Teas 5/5/24  x 2 @ £4</t>
  </si>
  <si>
    <t>Cream Teas 5/5/24  x 39 @ £4</t>
  </si>
  <si>
    <t>Cream Tea expenses</t>
  </si>
  <si>
    <t>Bowls Drive Prizes</t>
  </si>
  <si>
    <t>Reimburse Bowls Drive No 1</t>
  </si>
  <si>
    <t>15/6/24  Bowls Drive No 1</t>
  </si>
  <si>
    <t>Drawn triples.  24 x £2</t>
  </si>
  <si>
    <t>Drawn Mixed Pairs 20/7/24  x 24</t>
  </si>
  <si>
    <t>Presidents  Cup  15 x £1  24/7/24</t>
  </si>
  <si>
    <t>Roy Wedley  11/8/24  x 18</t>
  </si>
  <si>
    <t>John Constable  31/8/24  24 x £2</t>
  </si>
  <si>
    <t>Mixd singles competition</t>
  </si>
  <si>
    <t>singles and doubles</t>
  </si>
  <si>
    <t>Harradine/Boyall</t>
  </si>
  <si>
    <t>M &amp; M Warwick</t>
  </si>
  <si>
    <t>Doubles</t>
  </si>
  <si>
    <t>Doubles and singles</t>
  </si>
  <si>
    <t>Doubles x 2</t>
  </si>
  <si>
    <t>2 doubles and 1 singles</t>
  </si>
  <si>
    <t>Various Members &amp; Guests</t>
  </si>
  <si>
    <t>Prize money,  £102, £51, £33, £21</t>
  </si>
  <si>
    <t>Spring Triples expenses</t>
  </si>
  <si>
    <t>Expenses J Knaggs</t>
  </si>
  <si>
    <t>1 x meal at £3</t>
  </si>
  <si>
    <t>1 x meal @ £3</t>
  </si>
  <si>
    <t>2 x meals @ £3</t>
  </si>
  <si>
    <t>1 x meal @ £3 and 1 @ £8</t>
  </si>
  <si>
    <t>2 x meals @ £8 ea.</t>
  </si>
  <si>
    <t>Sharratt &amp; Tibbles</t>
  </si>
  <si>
    <t>Raffle profit</t>
  </si>
  <si>
    <t>Jones Heating</t>
  </si>
  <si>
    <t>Spring Triples Sponsor</t>
  </si>
  <si>
    <t>Spring Triples received to date 16/5/24</t>
  </si>
  <si>
    <t>1st maintenance visit 15/1/24</t>
  </si>
  <si>
    <t>2nd maintenance visit  23/2/24</t>
  </si>
  <si>
    <t>3rd maintenance visit 26/3/24</t>
  </si>
  <si>
    <t>2 x whip ends</t>
  </si>
  <si>
    <t>4th maintenance visit 9/4/24</t>
  </si>
  <si>
    <t>5th Maintenance visit  21/5/24</t>
  </si>
  <si>
    <t>Netting for green</t>
  </si>
  <si>
    <t>June, July &amp; Aug 24 visits</t>
  </si>
  <si>
    <t>Autumn Maintenance 24/9/24</t>
  </si>
  <si>
    <t>November Maintenance Visit</t>
  </si>
  <si>
    <t>2024 Deail</t>
  </si>
  <si>
    <t>Mower spares and petrol</t>
  </si>
  <si>
    <t>Upper Handle for mower</t>
  </si>
  <si>
    <t>Purchase Strimmer spools x 9</t>
  </si>
  <si>
    <t>Brake cable for mower</t>
  </si>
  <si>
    <t>22/7/24  purchase petrol</t>
  </si>
  <si>
    <t>1 x spray chalk</t>
  </si>
  <si>
    <t>Various Members</t>
  </si>
  <si>
    <t>Grippo</t>
  </si>
  <si>
    <t>1 tube of Gripper</t>
  </si>
  <si>
    <t>5/7/24 Purchase spray chalk</t>
  </si>
  <si>
    <t>Spray Chalk sale</t>
  </si>
  <si>
    <t>Purchase of seconhand Club T  shirt</t>
  </si>
  <si>
    <t>Gripo</t>
  </si>
  <si>
    <t>T Shirt</t>
  </si>
  <si>
    <t>Annual Trophies &amp; engraving</t>
  </si>
  <si>
    <t>Trophy boards update 2024</t>
  </si>
  <si>
    <t>Tower League Registration fees 2023</t>
  </si>
  <si>
    <t>League + Mick Lewin registration</t>
  </si>
  <si>
    <t>Tower Team Registratiion Fees 2024</t>
  </si>
  <si>
    <t>League Presentation Meal  x 6</t>
  </si>
  <si>
    <t>Registration Fees  29 x £1</t>
  </si>
  <si>
    <t>Woods Team Registration Fees 2025</t>
  </si>
  <si>
    <t>League Presentation Meal reimburse x 2</t>
  </si>
  <si>
    <t>League Presentation Meal reimburse from league</t>
  </si>
  <si>
    <t>P&amp;D League Dinner</t>
  </si>
  <si>
    <t xml:space="preserve">2023 Team members registration </t>
  </si>
  <si>
    <t xml:space="preserve">2024 Team members registration </t>
  </si>
  <si>
    <t>LBC</t>
  </si>
  <si>
    <t>P&amp;D League Dinner members contribution</t>
  </si>
  <si>
    <t>Raffle prizes for final bowlsdrive</t>
  </si>
  <si>
    <t>Purchase 3 bottles of wine</t>
  </si>
  <si>
    <t>Hortech Systems Ltd</t>
  </si>
  <si>
    <t>22/6/24 Sprinkler repair</t>
  </si>
  <si>
    <t>Junction box purchase</t>
  </si>
  <si>
    <t>Sprinkler System repair</t>
  </si>
  <si>
    <t>Annual Dinner Gratuities</t>
  </si>
  <si>
    <t>Annual Dinner Raffle</t>
  </si>
  <si>
    <t>Annual Dinner  56 x £24</t>
  </si>
  <si>
    <t>Annual Dinner Invoice  53 x £24 - deposit</t>
  </si>
  <si>
    <t>Transfer from Annual Dinner</t>
  </si>
  <si>
    <t>Transfer any surplus to 'Donations'</t>
  </si>
  <si>
    <t>Plant sales float</t>
  </si>
  <si>
    <t>Purchase of R Ames tomato plants</t>
  </si>
  <si>
    <t>Lucksbridge</t>
  </si>
  <si>
    <t>Plant purchase for May 24</t>
  </si>
  <si>
    <t>19/5/24 plant sales</t>
  </si>
  <si>
    <t>Plant sales  17/5/24</t>
  </si>
  <si>
    <t>Plant sales</t>
  </si>
  <si>
    <t>18/5/24 Plant sales</t>
  </si>
  <si>
    <t>18/5/24  Plant sales</t>
  </si>
  <si>
    <t>17/5/24  Plant sales</t>
  </si>
  <si>
    <t>17/5/24 Plant sales</t>
  </si>
  <si>
    <t>Plant sale float return</t>
  </si>
  <si>
    <t>Plant sales to date 16/5/24</t>
  </si>
  <si>
    <t>Plant sales 21/5/24</t>
  </si>
  <si>
    <t>29/5/24 Plant sales</t>
  </si>
  <si>
    <t>Plant sales 27/5/24</t>
  </si>
  <si>
    <t>1/6/24  Plant sales</t>
  </si>
  <si>
    <t>Plant sales  17/6/24</t>
  </si>
  <si>
    <t>4/6/24  Plant sales</t>
  </si>
  <si>
    <t>Winter plant sale order</t>
  </si>
  <si>
    <t>Winter plant sale purchases</t>
  </si>
  <si>
    <t>Oct 25</t>
  </si>
  <si>
    <t>Fun Quiz 9/2/24  48 x £13</t>
  </si>
  <si>
    <t>PMGC Trading Ltd</t>
  </si>
  <si>
    <t>Fish &amp; Chips x 61 @ £10PP</t>
  </si>
  <si>
    <t>Fun Quiz gratuities</t>
  </si>
  <si>
    <t>Fun Quiz 9/2/24 13 x £13   1 x £5</t>
  </si>
  <si>
    <t>Fun Quiz raffle</t>
  </si>
  <si>
    <t>Fitzgerald (Wayne)</t>
  </si>
  <si>
    <t>Quiz Team Payment  6 x £11</t>
  </si>
  <si>
    <t>Quiz Night Raffle</t>
  </si>
  <si>
    <t>Quiz Night Expenses</t>
  </si>
  <si>
    <t>Refund x2</t>
  </si>
  <si>
    <t>Attending 89 @ £11 &amp; 4 @ £5</t>
  </si>
  <si>
    <t>FUN QUIZ - FEB</t>
  </si>
  <si>
    <t>Gratuities</t>
  </si>
  <si>
    <t>DEC QUIZ</t>
  </si>
  <si>
    <t>Krog &amp; Whitehouse</t>
  </si>
  <si>
    <t>Race Night Sponsor</t>
  </si>
  <si>
    <t>Beneficial Arts</t>
  </si>
  <si>
    <t>DVDs tickets etc for Race Night</t>
  </si>
  <si>
    <t>Race Night Sponsor  Camertech</t>
  </si>
  <si>
    <t>Probus02</t>
  </si>
  <si>
    <t>Hunt &amp; Coombs</t>
  </si>
  <si>
    <t>Avonmore</t>
  </si>
  <si>
    <t>Farmers Yaxley</t>
  </si>
  <si>
    <t>Princebuild</t>
  </si>
  <si>
    <t>97 horses @ £5</t>
  </si>
  <si>
    <t>75 @ £13 attending</t>
  </si>
  <si>
    <t>Race Night outstanding £168</t>
  </si>
  <si>
    <t>Race Night Float (£500) + prizes (£195)</t>
  </si>
  <si>
    <t>General catering + Prosecco</t>
  </si>
  <si>
    <t xml:space="preserve">General catering </t>
  </si>
  <si>
    <t>Race Night donation</t>
  </si>
  <si>
    <t>Jackpot retained</t>
  </si>
  <si>
    <t>2 x Auction items</t>
  </si>
  <si>
    <t>Race Night outstanding £119</t>
  </si>
  <si>
    <t>Tote retained</t>
  </si>
  <si>
    <t>Race Night Float return</t>
  </si>
  <si>
    <t>TWG Motorsport</t>
  </si>
  <si>
    <t>Race Night sponsor</t>
  </si>
  <si>
    <t>incl bubbly</t>
  </si>
  <si>
    <t>Pims for BBQ + napkins</t>
  </si>
  <si>
    <t>Social Members Coffee morn. 30/4/24</t>
  </si>
  <si>
    <t>Social members coffee morning</t>
  </si>
  <si>
    <t>Temporary Events Notice for 19/6/24</t>
  </si>
  <si>
    <t>Cheese and wine expenses</t>
  </si>
  <si>
    <t>19//6/24 cheese and wine x 1</t>
  </si>
  <si>
    <t>19/6/24 cheese and wine  x1</t>
  </si>
  <si>
    <t>19/6/24 cheese and wine  x1 guest</t>
  </si>
  <si>
    <t xml:space="preserve">19/6/24 cheese and wine </t>
  </si>
  <si>
    <t>Social members Coffee morning 18/6</t>
  </si>
  <si>
    <t>19/6/24 cheese and wine  x2</t>
  </si>
  <si>
    <t>19/6/24 cheese and wine x2</t>
  </si>
  <si>
    <t>19/6/24 cheese and wine x 2</t>
  </si>
  <si>
    <t>19/6/24 cheese and wine x 3</t>
  </si>
  <si>
    <t>19/6/24 extra glasses of wine</t>
  </si>
  <si>
    <t>Strawberry Tea expenses</t>
  </si>
  <si>
    <t>7/7/24  Strawberry Tea  x  1</t>
  </si>
  <si>
    <t>7/7/24  Strawberry Tea</t>
  </si>
  <si>
    <t>7/7/24  Strawberry Tea  x  2</t>
  </si>
  <si>
    <t>Moon (Carol)</t>
  </si>
  <si>
    <t>7/7/24  Strawberry Tea x 2</t>
  </si>
  <si>
    <t>7/7/24 Strawberry Tea  x  2</t>
  </si>
  <si>
    <t xml:space="preserve">7/7/24  Strawberry Tea  x 2 </t>
  </si>
  <si>
    <t>16/7/24  Social members coffee</t>
  </si>
  <si>
    <t>7/7/24  Strawberry Tea  x  3</t>
  </si>
  <si>
    <t>7/7/24 Strawberry Tea raffle</t>
  </si>
  <si>
    <t>BBQ Expenses  18/8/24</t>
  </si>
  <si>
    <t>BBQ  18/8/24 x 1</t>
  </si>
  <si>
    <t>BBQ  18/8/24  x 1</t>
  </si>
  <si>
    <t>Social Members coffee morning 13/8/24</t>
  </si>
  <si>
    <t>BBQ  18/8/24 x 2</t>
  </si>
  <si>
    <t>BBQ 18/8/24  x 2</t>
  </si>
  <si>
    <t>BBQ  18/8/24  x 2</t>
  </si>
  <si>
    <t>BBQ  18/8/24 x 3</t>
  </si>
  <si>
    <t>Bowls Drive No 2  18/8/24   x 16</t>
  </si>
  <si>
    <t>BBQ Raffle  18/8/24</t>
  </si>
  <si>
    <t>Social Members Coffee morning 17/9/24</t>
  </si>
  <si>
    <t>Cheese &amp; Wine</t>
  </si>
  <si>
    <t>PREVIOUSLY ALL TO PRESIDENTS CHARITY</t>
  </si>
  <si>
    <t>E-On Electricity</t>
  </si>
  <si>
    <t>Eon electricity usage Dec 23</t>
  </si>
  <si>
    <t>Eon electricity usage Jan 24</t>
  </si>
  <si>
    <t>Eon electricity usage Feb 24</t>
  </si>
  <si>
    <t>Electricity usage March 24</t>
  </si>
  <si>
    <t>Electricity usage April 24</t>
  </si>
  <si>
    <t>Electricity usage May 24</t>
  </si>
  <si>
    <t>Electricity usage June 24</t>
  </si>
  <si>
    <t>Electricity usage July 24</t>
  </si>
  <si>
    <t>Electricity usage Aug 24</t>
  </si>
  <si>
    <t>Electicity usage September 24</t>
  </si>
  <si>
    <t>Electricity Usage October 24</t>
  </si>
  <si>
    <t>Electricity usage November 24</t>
  </si>
  <si>
    <t>Longthorpe Community Assoc</t>
  </si>
  <si>
    <t>Hire of hall for Race Night</t>
  </si>
  <si>
    <t>Plant sale and Spring triples</t>
  </si>
  <si>
    <t>Quiz Night Hire of Hall</t>
  </si>
  <si>
    <t>NOT PD IN 2024</t>
  </si>
  <si>
    <t>Keys</t>
  </si>
  <si>
    <t>Paint, Sadolin, Sand Paper, Woodfiller</t>
  </si>
  <si>
    <t>Strimmer cord x 3</t>
  </si>
  <si>
    <t>Sandpaper, white spirit + Paint</t>
  </si>
  <si>
    <t>Paint &amp; sharp sand</t>
  </si>
  <si>
    <t>20 bags of sharp sand</t>
  </si>
  <si>
    <t>Purchase 1 Ltr Sadolin  Mahogany</t>
  </si>
  <si>
    <t>Gutter Bracket</t>
  </si>
  <si>
    <t>Jumbo bag of sharp sand</t>
  </si>
  <si>
    <t>Water usage 14/2/23 to 24/5/24</t>
  </si>
  <si>
    <t>Biffa Waste</t>
  </si>
  <si>
    <t>1 Bin emptied 21/12/23</t>
  </si>
  <si>
    <t>2 bins emptied 19/3 and 2 bins  28/3</t>
  </si>
  <si>
    <t>2 bins emptied 25/4/24</t>
  </si>
  <si>
    <t>2 x 13/5/24, 2 x 23/5/24, 2 x 29/5/24</t>
  </si>
  <si>
    <t>2 x 24/6/24</t>
  </si>
  <si>
    <t>2 bins emptied 17/7/24</t>
  </si>
  <si>
    <t>2 bins emptied 1/8/24</t>
  </si>
  <si>
    <t>2 bins 9/9/24, 1 on 23/9/24 &amp; 2 on 30/9/24</t>
  </si>
  <si>
    <t>Plastic plates x 2</t>
  </si>
  <si>
    <t>Opening cleaning day tearoom expenses</t>
  </si>
  <si>
    <t>Expenses napkins/bags</t>
  </si>
  <si>
    <t>9/5/24  squash purchase</t>
  </si>
  <si>
    <t>2/5/24  Milk purchase</t>
  </si>
  <si>
    <t>Sale of 6 bottles of water</t>
  </si>
  <si>
    <t>Tea room expenses</t>
  </si>
  <si>
    <t>T Room biscuits etc</t>
  </si>
  <si>
    <t>T Room plastic cups</t>
  </si>
  <si>
    <t>Milk Purchase  16/7/24</t>
  </si>
  <si>
    <t>Milk purchase</t>
  </si>
  <si>
    <t>Purchase of Club bottled water</t>
  </si>
  <si>
    <t>Milk Purchase  27/8/24</t>
  </si>
  <si>
    <t>Milk Purchase  3/9/24</t>
  </si>
  <si>
    <t>Purchase milk for final work day 23/9/24</t>
  </si>
  <si>
    <t>Coloured paper</t>
  </si>
  <si>
    <t>Printing paper</t>
  </si>
  <si>
    <t>M Warwick reimbursed payment</t>
  </si>
  <si>
    <t>Purchase 75 Pens from Pens.com</t>
  </si>
  <si>
    <t>Purchase 8 Cushions for benches</t>
  </si>
  <si>
    <t>Dunster House</t>
  </si>
  <si>
    <t>Gazebo purchase</t>
  </si>
  <si>
    <t>Planning Fee for Gazebo</t>
  </si>
  <si>
    <t>Transferred to Fixed Assets</t>
  </si>
  <si>
    <t>Virgin Money</t>
  </si>
  <si>
    <t>Bank charges</t>
  </si>
  <si>
    <t>2 x planters</t>
  </si>
  <si>
    <t>17/5/24  2 x planters @ £7.50 each</t>
  </si>
  <si>
    <t>Purchase Planters</t>
  </si>
  <si>
    <t>RJ Bird box</t>
  </si>
  <si>
    <t>Spring Trips donation. (Sunglasses)</t>
  </si>
  <si>
    <t>2 x planters and 1 bird box</t>
  </si>
  <si>
    <t>Strawberry Tea extra</t>
  </si>
  <si>
    <t>LAV donation</t>
  </si>
  <si>
    <t>Book sales</t>
  </si>
  <si>
    <t>Book Sales</t>
  </si>
  <si>
    <t>Transfer from Virgin Money - Savings</t>
  </si>
  <si>
    <t>LAV Donation  SW.</t>
  </si>
  <si>
    <t>Lav donation  BG</t>
  </si>
  <si>
    <t>Transfer to Donations</t>
  </si>
  <si>
    <t>Interest - Virgin Money Savings</t>
  </si>
  <si>
    <t>Gazebo</t>
  </si>
  <si>
    <t>NET ASSET VALUES as at 31/12/2024</t>
  </si>
  <si>
    <t>Total Depr to 31/12/2024</t>
  </si>
  <si>
    <t>-£1593 T/s to Fixed Assets</t>
  </si>
  <si>
    <r>
      <t xml:space="preserve">Chemical Instrata </t>
    </r>
    <r>
      <rPr>
        <b/>
        <sz val="11"/>
        <color rgb="FFFF0000"/>
        <rFont val="Calibri"/>
        <family val="2"/>
        <scheme val="minor"/>
      </rPr>
      <t>(late order Dec 2017</t>
    </r>
    <r>
      <rPr>
        <sz val="11"/>
        <color theme="1"/>
        <rFont val="Calibri"/>
        <family val="2"/>
        <scheme val="minor"/>
      </rPr>
      <t>)</t>
    </r>
  </si>
  <si>
    <t>T26</t>
  </si>
  <si>
    <t>`</t>
  </si>
  <si>
    <t>X248</t>
  </si>
  <si>
    <t>Y248</t>
  </si>
  <si>
    <t>Z248</t>
  </si>
  <si>
    <t>V29</t>
  </si>
  <si>
    <t>R18</t>
  </si>
  <si>
    <t>S31</t>
  </si>
  <si>
    <t>AC14</t>
  </si>
  <si>
    <t>CH78</t>
  </si>
  <si>
    <t>R6</t>
  </si>
  <si>
    <t>N15</t>
  </si>
  <si>
    <t>Q44</t>
  </si>
  <si>
    <t>L16</t>
  </si>
  <si>
    <t>P18</t>
  </si>
  <si>
    <t>R24</t>
  </si>
  <si>
    <t>Q26</t>
  </si>
  <si>
    <t>L18</t>
  </si>
  <si>
    <t>L13</t>
  </si>
  <si>
    <t>Q21</t>
  </si>
  <si>
    <t>N18</t>
  </si>
  <si>
    <t>T24</t>
  </si>
  <si>
    <t>T33</t>
  </si>
  <si>
    <t>O46</t>
  </si>
  <si>
    <t>P10</t>
  </si>
  <si>
    <t>Q6</t>
  </si>
  <si>
    <t>K9</t>
  </si>
  <si>
    <t>D20</t>
  </si>
  <si>
    <t>I22</t>
  </si>
  <si>
    <t>W22</t>
  </si>
  <si>
    <t>Y22</t>
  </si>
  <si>
    <t>O26</t>
  </si>
  <si>
    <t>R108</t>
  </si>
  <si>
    <t>O16</t>
  </si>
  <si>
    <t>AI37</t>
  </si>
  <si>
    <t>O45</t>
  </si>
  <si>
    <t>N25</t>
  </si>
  <si>
    <t>O17</t>
  </si>
  <si>
    <t>O37</t>
  </si>
  <si>
    <t>Q28</t>
  </si>
  <si>
    <t>J17</t>
  </si>
  <si>
    <t>J9</t>
  </si>
  <si>
    <t>J12</t>
  </si>
  <si>
    <t>J11</t>
  </si>
  <si>
    <t>F12</t>
  </si>
  <si>
    <t>J6</t>
  </si>
  <si>
    <t>J10</t>
  </si>
  <si>
    <t>J14</t>
  </si>
  <si>
    <t>J56</t>
  </si>
  <si>
    <t>W15</t>
  </si>
  <si>
    <t>W16</t>
  </si>
  <si>
    <t>W18</t>
  </si>
  <si>
    <t>W19</t>
  </si>
  <si>
    <t>W21</t>
  </si>
  <si>
    <t>CELL 2025 BUDGET FIGURE</t>
  </si>
  <si>
    <t>AA248</t>
  </si>
  <si>
    <t>J5</t>
  </si>
  <si>
    <t>Coffee Meetings</t>
  </si>
  <si>
    <t xml:space="preserve">Cheese and wine </t>
  </si>
  <si>
    <t>Bowls drive</t>
  </si>
  <si>
    <t>P &amp; D Bowls League</t>
  </si>
  <si>
    <t>Actual Charges</t>
  </si>
  <si>
    <t xml:space="preserve">                                                                                        </t>
  </si>
  <si>
    <t>THIS SHEET CAN BE PROTECTED WITHOUT A PASSWORD</t>
  </si>
  <si>
    <t>}</t>
  </si>
  <si>
    <t>FOR THE PERIOD 1 JANUARY 2026 TO 31 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</si>
</sst>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164" formatCode="&quot;£&quot;#,##0;[Red]\-&quot;£&quot;#,##0"/>
    <numFmt numFmtId="165" formatCode="&quot;£&quot;#,##0.00;[Red]\-&quot;£&quot;#,##0.00"/>
    <numFmt numFmtId="166" formatCode="_-&quot;£&quot;* #,##0.00_-;\-&quot;£&quot;* #,##0.00_-;_-&quot;£&quot;* &quot;-&quot;??_-;_-@_-"/>
    <numFmt numFmtId="167" formatCode="_-* #,##0.00_-;\-* #,##0.00_-;_-* &quot;-&quot;??_-;_-@_-"/>
    <numFmt numFmtId="168" formatCode="&quot;£&quot;#,###;[Red]\(&quot;£&quot;#,###\);[Black]&quot;&quot;"/>
    <numFmt numFmtId="169" formatCode="&quot;£&quot;#,##0.00;[Red]\(&quot;£&quot;#,##0.00\);[Black]&quot;&quot;"/>
    <numFmt numFmtId="170" formatCode="mmm\ yyyy"/>
    <numFmt numFmtId="171" formatCode="_-&quot;£&quot;* #,##0_-;\-&quot;£&quot;* #,##0_-;_-&quot;£&quot;* &quot;-&quot;??_-;_-@_-"/>
    <numFmt numFmtId="172" formatCode="yyyy"/>
    <numFmt numFmtId="173" formatCode="dd\ mmm\ yy"/>
    <numFmt numFmtId="174" formatCode="dddd\ d\ mmm\ yyyy"/>
    <numFmt numFmtId="175" formatCode="0.0%"/>
    <numFmt numFmtId="176" formatCode="&quot;£&quot;#,##0;[Red]\(&quot;£&quot;#,##0\)"/>
    <numFmt numFmtId="177" formatCode="&quot;£&quot;#,###;[Red]&quot;£&quot;#,###;[Black]&quot;&quot;"/>
    <numFmt numFmtId="178" formatCode="_-* #,##0_-;\-* #,##0_-;_-* &quot;-&quot;??_-;_-@_-"/>
    <numFmt numFmtId="179" formatCode="&quot;£&quot;#,##0;[Red]\(&quot;£&quot;#,##0\);&quot;£&quot;0"/>
    <numFmt numFmtId="180" formatCode="&quot;£&quot;#,##0"/>
    <numFmt numFmtId="181" formatCode="&quot;£&quot;#,##0.00"/>
    <numFmt numFmtId="182" formatCode="#,##0;[Red]\(#,##0\)"/>
    <numFmt numFmtId="183" formatCode="&quot;£&quot;#,##0.00;[Red]\(&quot;£&quot;#,##0.00\);&quot;£&quot;0.00"/>
    <numFmt numFmtId="184" formatCode="_(&quot;£&quot;* #,##0_);_(&quot;£&quot;* \(#,##0\);_(&quot;£&quot;* &quot;-&quot;??_);_(@_)"/>
  </numFmts>
  <fonts count="70"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1"/>
      <color rgb="FFFF0000"/>
      <name val="Calibri"/>
      <family val="2"/>
      <scheme val="minor"/>
    </font>
    <font>
      <sz val="8"/>
      <color theme="1"/>
      <name val="Calibri"/>
      <family val="2"/>
      <scheme val="minor"/>
    </font>
    <font>
      <b/>
      <sz val="12"/>
      <color rgb="FFFF0000"/>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sz val="14"/>
      <color rgb="FFFF0000"/>
      <name val="Calibri"/>
      <family val="2"/>
      <scheme val="minor"/>
    </font>
    <font>
      <b/>
      <sz val="12"/>
      <color theme="1"/>
      <name val="Calibri"/>
      <family val="2"/>
      <scheme val="minor"/>
    </font>
    <font>
      <b/>
      <sz val="12"/>
      <name val="Calibri"/>
      <family val="2"/>
      <scheme val="minor"/>
    </font>
    <font>
      <b/>
      <sz val="14"/>
      <color theme="1"/>
      <name val="Calibri"/>
      <family val="2"/>
      <scheme val="minor"/>
    </font>
    <font>
      <sz val="11"/>
      <color rgb="FFFF0000"/>
      <name val="Calibri"/>
      <family val="2"/>
      <scheme val="minor"/>
    </font>
    <font>
      <sz val="10"/>
      <name val="Arial"/>
      <family val="2"/>
    </font>
    <font>
      <sz val="10"/>
      <color rgb="FFFF0000"/>
      <name val="Arial"/>
      <family val="2"/>
    </font>
    <font>
      <sz val="10"/>
      <color theme="1"/>
      <name val="Arial"/>
      <family val="2"/>
    </font>
    <font>
      <sz val="9"/>
      <color theme="1"/>
      <name val="Calibri"/>
      <family val="2"/>
      <scheme val="minor"/>
    </font>
    <font>
      <i/>
      <sz val="9"/>
      <color theme="1"/>
      <name val="Arial"/>
      <family val="2"/>
    </font>
    <font>
      <b/>
      <i/>
      <sz val="11"/>
      <color theme="1"/>
      <name val="Calibri"/>
      <family val="2"/>
      <scheme val="minor"/>
    </font>
    <font>
      <sz val="12"/>
      <color theme="1"/>
      <name val="Calibri"/>
      <family val="2"/>
      <scheme val="minor"/>
    </font>
    <font>
      <b/>
      <sz val="11.5"/>
      <color theme="1"/>
      <name val="Calibri"/>
      <family val="2"/>
      <scheme val="minor"/>
    </font>
    <font>
      <sz val="11.5"/>
      <color theme="1"/>
      <name val="Calibri"/>
      <family val="2"/>
      <scheme val="minor"/>
    </font>
    <font>
      <b/>
      <i/>
      <sz val="11"/>
      <color rgb="FFFF0000"/>
      <name val="Calibri"/>
      <family val="2"/>
      <scheme val="minor"/>
    </font>
    <font>
      <b/>
      <sz val="11.5"/>
      <name val="Calibri"/>
      <family val="2"/>
      <scheme val="minor"/>
    </font>
    <font>
      <sz val="10"/>
      <color rgb="FFFF0000"/>
      <name val="Calibri"/>
      <family val="2"/>
      <scheme val="minor"/>
    </font>
    <font>
      <u/>
      <sz val="11"/>
      <color theme="10"/>
      <name val="Calibri"/>
      <family val="2"/>
      <scheme val="minor"/>
    </font>
    <font>
      <sz val="11"/>
      <color theme="10"/>
      <name val="Calibri"/>
      <family val="2"/>
      <scheme val="minor"/>
    </font>
    <font>
      <u/>
      <sz val="18"/>
      <color theme="0"/>
      <name val="Calibri"/>
      <family val="2"/>
      <scheme val="minor"/>
    </font>
    <font>
      <sz val="11"/>
      <color theme="0"/>
      <name val="Calibri"/>
      <family val="2"/>
      <scheme val="minor"/>
    </font>
    <font>
      <b/>
      <sz val="11"/>
      <color theme="10"/>
      <name val="Calibri"/>
      <family val="2"/>
      <scheme val="minor"/>
    </font>
    <font>
      <i/>
      <u/>
      <sz val="14"/>
      <color theme="10"/>
      <name val="Calibri"/>
      <family val="2"/>
      <scheme val="minor"/>
    </font>
    <font>
      <sz val="10"/>
      <name val="Calibri"/>
      <family val="2"/>
      <scheme val="minor"/>
    </font>
    <font>
      <sz val="14"/>
      <color theme="1"/>
      <name val="Calibri"/>
      <family val="2"/>
      <scheme val="minor"/>
    </font>
    <font>
      <i/>
      <u/>
      <sz val="10"/>
      <color theme="10"/>
      <name val="Calibri"/>
      <family val="2"/>
      <scheme val="minor"/>
    </font>
    <font>
      <u/>
      <sz val="18"/>
      <name val="Calibri"/>
      <family val="2"/>
      <scheme val="minor"/>
    </font>
    <font>
      <b/>
      <u/>
      <sz val="18"/>
      <name val="Calibri"/>
      <family val="2"/>
      <scheme val="minor"/>
    </font>
    <font>
      <b/>
      <u/>
      <sz val="18"/>
      <color theme="1"/>
      <name val="Calibri"/>
      <family val="2"/>
      <scheme val="minor"/>
    </font>
    <font>
      <b/>
      <sz val="12"/>
      <color rgb="FFFF0000"/>
      <name val="Calibri"/>
      <family val="2"/>
    </font>
    <font>
      <sz val="12"/>
      <name val="Calibri"/>
      <family val="2"/>
      <scheme val="minor"/>
    </font>
    <font>
      <b/>
      <i/>
      <sz val="12"/>
      <color theme="1"/>
      <name val="Calibri"/>
      <family val="2"/>
      <scheme val="minor"/>
    </font>
    <font>
      <b/>
      <i/>
      <sz val="12"/>
      <name val="Calibri"/>
      <family val="2"/>
      <scheme val="minor"/>
    </font>
    <font>
      <sz val="12"/>
      <color rgb="FFFF0000"/>
      <name val="Calibri"/>
      <family val="2"/>
      <scheme val="minor"/>
    </font>
    <font>
      <b/>
      <sz val="16"/>
      <color rgb="FFFF0000"/>
      <name val="Calibri"/>
      <family val="2"/>
      <scheme val="minor"/>
    </font>
    <font>
      <sz val="11"/>
      <color rgb="FF000000"/>
      <name val="Calibri"/>
      <family val="2"/>
      <scheme val="minor"/>
    </font>
    <font>
      <u/>
      <sz val="9"/>
      <name val="Calibri"/>
      <family val="2"/>
      <scheme val="minor"/>
    </font>
    <font>
      <b/>
      <sz val="9"/>
      <color rgb="FFFF0000"/>
      <name val="Calibri"/>
      <family val="2"/>
      <scheme val="minor"/>
    </font>
    <font>
      <b/>
      <sz val="9"/>
      <color theme="1"/>
      <name val="Calibri"/>
      <family val="2"/>
      <scheme val="minor"/>
    </font>
    <font>
      <sz val="9"/>
      <name val="Calibri"/>
      <family val="2"/>
      <scheme val="minor"/>
    </font>
    <font>
      <sz val="8"/>
      <name val="Calibri"/>
      <family val="2"/>
      <scheme val="minor"/>
    </font>
    <font>
      <b/>
      <sz val="9"/>
      <name val="Calibri"/>
      <family val="2"/>
      <scheme val="minor"/>
    </font>
    <font>
      <b/>
      <sz val="11"/>
      <color rgb="FFFF0000"/>
      <name val="Calibri"/>
      <family val="2"/>
    </font>
    <font>
      <sz val="11"/>
      <name val="Calibri"/>
      <family val="2"/>
    </font>
    <font>
      <b/>
      <sz val="11"/>
      <name val="Calibri"/>
      <family val="2"/>
    </font>
    <font>
      <b/>
      <sz val="11.5"/>
      <color rgb="FFFF0000"/>
      <name val="Calibri"/>
      <family val="2"/>
      <scheme val="minor"/>
    </font>
    <font>
      <b/>
      <i/>
      <sz val="9"/>
      <color theme="1"/>
      <name val="Calibri"/>
      <family val="2"/>
      <scheme val="minor"/>
    </font>
    <font>
      <b/>
      <u/>
      <sz val="11"/>
      <color theme="1"/>
      <name val="Calibri"/>
      <family val="2"/>
      <scheme val="minor"/>
    </font>
    <font>
      <b/>
      <sz val="8"/>
      <color rgb="FFFF0000"/>
      <name val="Calibri"/>
      <family val="2"/>
      <scheme val="minor"/>
    </font>
    <font>
      <b/>
      <sz val="11"/>
      <color theme="0"/>
      <name val="Calibri"/>
      <family val="2"/>
    </font>
    <font>
      <b/>
      <sz val="11"/>
      <color theme="0"/>
      <name val="Calibri"/>
      <family val="2"/>
      <scheme val="minor"/>
    </font>
    <font>
      <b/>
      <sz val="12"/>
      <color theme="0"/>
      <name val="Calibri"/>
      <family val="2"/>
      <scheme val="minor"/>
    </font>
    <font>
      <b/>
      <sz val="10"/>
      <color theme="0"/>
      <name val="Calibri"/>
      <family val="2"/>
      <scheme val="minor"/>
    </font>
    <font>
      <b/>
      <sz val="10"/>
      <name val="Calibri"/>
      <family val="2"/>
    </font>
    <font>
      <sz val="10"/>
      <name val="Calibri"/>
      <family val="2"/>
    </font>
    <font>
      <b/>
      <i/>
      <u/>
      <sz val="16"/>
      <name val="Calibri"/>
      <family val="2"/>
      <scheme val="minor"/>
    </font>
    <font>
      <b/>
      <i/>
      <u/>
      <sz val="14"/>
      <name val="Calibri"/>
      <family val="2"/>
      <scheme val="minor"/>
    </font>
    <font>
      <sz val="14"/>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theme="4" tint="0.79998168889431442"/>
      </patternFill>
    </fill>
    <fill>
      <patternFill patternType="solid">
        <fgColor theme="9"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3399"/>
        <bgColor indexed="64"/>
      </patternFill>
    </fill>
    <fill>
      <patternFill patternType="solid">
        <fgColor rgb="FF00FF00"/>
        <bgColor indexed="64"/>
      </patternFill>
    </fill>
    <fill>
      <patternFill patternType="solid">
        <fgColor theme="0"/>
        <bgColor theme="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9" tint="-0.249977111117893"/>
        <bgColor indexed="64"/>
      </patternFill>
    </fill>
    <fill>
      <patternFill patternType="solid">
        <fgColor rgb="FF00B0F0"/>
        <bgColor indexed="64"/>
      </patternFill>
    </fill>
    <fill>
      <patternFill patternType="solid">
        <fgColor rgb="FFFFFF66"/>
        <bgColor indexed="64"/>
      </patternFill>
    </fill>
    <fill>
      <patternFill patternType="solid">
        <fgColor theme="9" tint="0.59999389629810485"/>
        <bgColor indexed="64"/>
      </patternFill>
    </fill>
    <fill>
      <patternFill patternType="solid">
        <fgColor rgb="FFFFFF00"/>
        <bgColor theme="4" tint="0.79998168889431442"/>
      </patternFill>
    </fill>
    <fill>
      <patternFill patternType="solid">
        <fgColor theme="3" tint="0.39997558519241921"/>
        <bgColor indexed="64"/>
      </patternFill>
    </fill>
    <fill>
      <patternFill patternType="solid">
        <fgColor rgb="FFFF999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bgColor indexed="64"/>
      </patternFill>
    </fill>
    <fill>
      <patternFill patternType="solid">
        <fgColor theme="0" tint="-0.34998626667073579"/>
        <bgColor indexed="64"/>
      </patternFill>
    </fill>
    <fill>
      <patternFill patternType="solid">
        <fgColor theme="1"/>
        <bgColor indexed="64"/>
      </patternFill>
    </fill>
  </fills>
  <borders count="19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indexed="64"/>
      </right>
      <top/>
      <bottom/>
      <diagonal/>
    </border>
    <border>
      <left/>
      <right style="thin">
        <color indexed="64"/>
      </right>
      <top/>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double">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double">
        <color auto="1"/>
      </bottom>
      <diagonal/>
    </border>
    <border>
      <left/>
      <right style="thin">
        <color auto="1"/>
      </right>
      <top style="thin">
        <color auto="1"/>
      </top>
      <bottom/>
      <diagonal/>
    </border>
    <border>
      <left/>
      <right style="thin">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double">
        <color auto="1"/>
      </top>
      <bottom style="thick">
        <color auto="1"/>
      </bottom>
      <diagonal/>
    </border>
    <border>
      <left style="thick">
        <color auto="1"/>
      </left>
      <right style="thick">
        <color auto="1"/>
      </right>
      <top style="thin">
        <color auto="1"/>
      </top>
      <bottom style="double">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auto="1"/>
      </left>
      <right style="thick">
        <color auto="1"/>
      </right>
      <top/>
      <bottom/>
      <diagonal/>
    </border>
    <border>
      <left/>
      <right/>
      <top style="double">
        <color auto="1"/>
      </top>
      <bottom style="double">
        <color auto="1"/>
      </bottom>
      <diagonal/>
    </border>
    <border>
      <left style="thin">
        <color indexed="64"/>
      </left>
      <right/>
      <top style="thin">
        <color auto="1"/>
      </top>
      <bottom style="medium">
        <color indexed="64"/>
      </bottom>
      <diagonal/>
    </border>
    <border>
      <left/>
      <right/>
      <top style="thin">
        <color auto="1"/>
      </top>
      <bottom style="medium">
        <color indexed="64"/>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ck">
        <color auto="1"/>
      </right>
      <top style="thin">
        <color auto="1"/>
      </top>
      <bottom style="double">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ck">
        <color auto="1"/>
      </left>
      <right style="thin">
        <color auto="1"/>
      </right>
      <top style="thin">
        <color auto="1"/>
      </top>
      <bottom/>
      <diagonal/>
    </border>
    <border>
      <left style="thin">
        <color auto="1"/>
      </left>
      <right/>
      <top style="medium">
        <color indexed="64"/>
      </top>
      <bottom style="thin">
        <color auto="1"/>
      </bottom>
      <diagonal/>
    </border>
    <border>
      <left style="thick">
        <color auto="1"/>
      </left>
      <right style="thick">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auto="1"/>
      </top>
      <bottom style="double">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top/>
      <bottom style="medium">
        <color indexed="64"/>
      </bottom>
      <diagonal/>
    </border>
    <border>
      <left style="thin">
        <color auto="1"/>
      </left>
      <right style="thin">
        <color auto="1"/>
      </right>
      <top style="double">
        <color auto="1"/>
      </top>
      <bottom style="double">
        <color auto="1"/>
      </bottom>
      <diagonal/>
    </border>
    <border>
      <left style="thick">
        <color auto="1"/>
      </left>
      <right style="thick">
        <color auto="1"/>
      </right>
      <top style="thin">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style="thin">
        <color auto="1"/>
      </left>
      <right style="thin">
        <color auto="1"/>
      </right>
      <top style="thick">
        <color auto="1"/>
      </top>
      <bottom style="thin">
        <color auto="1"/>
      </bottom>
      <diagonal/>
    </border>
    <border>
      <left style="thick">
        <color auto="1"/>
      </left>
      <right style="thin">
        <color indexed="64"/>
      </right>
      <top/>
      <bottom/>
      <diagonal/>
    </border>
    <border>
      <left style="thick">
        <color auto="1"/>
      </left>
      <right/>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ck">
        <color auto="1"/>
      </right>
      <top style="thin">
        <color auto="1"/>
      </top>
      <bottom/>
      <diagonal/>
    </border>
    <border>
      <left/>
      <right style="thick">
        <color auto="1"/>
      </right>
      <top/>
      <bottom/>
      <diagonal/>
    </border>
    <border>
      <left style="thick">
        <color auto="1"/>
      </left>
      <right/>
      <top/>
      <bottom style="thin">
        <color auto="1"/>
      </bottom>
      <diagonal/>
    </border>
    <border>
      <left/>
      <right style="thick">
        <color auto="1"/>
      </right>
      <top/>
      <bottom style="thin">
        <color auto="1"/>
      </bottom>
      <diagonal/>
    </border>
    <border>
      <left style="thin">
        <color auto="1"/>
      </left>
      <right style="thick">
        <color auto="1"/>
      </right>
      <top/>
      <bottom/>
      <diagonal/>
    </border>
    <border>
      <left style="thin">
        <color auto="1"/>
      </left>
      <right/>
      <top style="double">
        <color auto="1"/>
      </top>
      <bottom style="thick">
        <color auto="1"/>
      </bottom>
      <diagonal/>
    </border>
    <border>
      <left style="thin">
        <color auto="1"/>
      </left>
      <right/>
      <top style="thick">
        <color auto="1"/>
      </top>
      <bottom style="thin">
        <color auto="1"/>
      </bottom>
      <diagonal/>
    </border>
    <border>
      <left style="thick">
        <color auto="1"/>
      </left>
      <right style="thin">
        <color auto="1"/>
      </right>
      <top style="thick">
        <color auto="1"/>
      </top>
      <bottom style="thin">
        <color auto="1"/>
      </bottom>
      <diagonal/>
    </border>
    <border>
      <left/>
      <right/>
      <top style="double">
        <color auto="1"/>
      </top>
      <bottom style="thin">
        <color auto="1"/>
      </bottom>
      <diagonal/>
    </border>
    <border>
      <left style="thin">
        <color auto="1"/>
      </left>
      <right style="thin">
        <color auto="1"/>
      </right>
      <top style="medium">
        <color auto="1"/>
      </top>
      <bottom style="thick">
        <color auto="1"/>
      </bottom>
      <diagonal/>
    </border>
    <border>
      <left/>
      <right/>
      <top style="medium">
        <color auto="1"/>
      </top>
      <bottom style="thick">
        <color auto="1"/>
      </bottom>
      <diagonal/>
    </border>
    <border>
      <left style="thin">
        <color auto="1"/>
      </left>
      <right/>
      <top style="thick">
        <color auto="1"/>
      </top>
      <bottom/>
      <diagonal/>
    </border>
    <border>
      <left/>
      <right/>
      <top style="thick">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ck">
        <color rgb="FFFF0000"/>
      </top>
      <bottom style="thin">
        <color auto="1"/>
      </bottom>
      <diagonal/>
    </border>
    <border>
      <left/>
      <right/>
      <top style="thin">
        <color theme="4" tint="0.39997558519241921"/>
      </top>
      <bottom style="thin">
        <color theme="4" tint="0.39997558519241921"/>
      </bottom>
      <diagonal/>
    </border>
    <border>
      <left style="thin">
        <color auto="1"/>
      </left>
      <right/>
      <top style="medium">
        <color indexed="64"/>
      </top>
      <bottom/>
      <diagonal/>
    </border>
    <border>
      <left/>
      <right style="thin">
        <color auto="1"/>
      </right>
      <top style="medium">
        <color indexed="64"/>
      </top>
      <bottom/>
      <diagonal/>
    </border>
    <border>
      <left style="thick">
        <color auto="1"/>
      </left>
      <right style="thin">
        <color indexed="64"/>
      </right>
      <top style="thin">
        <color auto="1"/>
      </top>
      <bottom style="medium">
        <color indexed="64"/>
      </bottom>
      <diagonal/>
    </border>
    <border>
      <left style="thin">
        <color auto="1"/>
      </left>
      <right style="thick">
        <color auto="1"/>
      </right>
      <top style="thin">
        <color auto="1"/>
      </top>
      <bottom style="medium">
        <color auto="1"/>
      </bottom>
      <diagonal/>
    </border>
    <border>
      <left style="thick">
        <color auto="1"/>
      </left>
      <right style="thin">
        <color indexed="64"/>
      </right>
      <top style="medium">
        <color auto="1"/>
      </top>
      <bottom style="medium">
        <color indexed="64"/>
      </bottom>
      <diagonal/>
    </border>
    <border>
      <left style="thick">
        <color rgb="FFFF0000"/>
      </left>
      <right/>
      <top style="thin">
        <color auto="1"/>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ck">
        <color rgb="FFFF0000"/>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style="thick">
        <color rgb="FFFF0000"/>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double">
        <color indexed="64"/>
      </bottom>
      <diagonal/>
    </border>
    <border>
      <left style="thin">
        <color indexed="64"/>
      </left>
      <right style="thick">
        <color rgb="FFFF0000"/>
      </right>
      <top style="thin">
        <color indexed="64"/>
      </top>
      <bottom/>
      <diagonal/>
    </border>
    <border>
      <left style="thin">
        <color auto="1"/>
      </left>
      <right style="thick">
        <color auto="1"/>
      </right>
      <top style="thick">
        <color auto="1"/>
      </top>
      <bottom style="thin">
        <color auto="1"/>
      </bottom>
      <diagonal/>
    </border>
    <border>
      <left style="thick">
        <color auto="1"/>
      </left>
      <right/>
      <top style="thin">
        <color auto="1"/>
      </top>
      <bottom style="medium">
        <color auto="1"/>
      </bottom>
      <diagonal/>
    </border>
    <border>
      <left style="hair">
        <color auto="1"/>
      </left>
      <right style="hair">
        <color auto="1"/>
      </right>
      <top style="hair">
        <color auto="1"/>
      </top>
      <bottom style="hair">
        <color auto="1"/>
      </bottom>
      <diagonal/>
    </border>
    <border>
      <left/>
      <right/>
      <top/>
      <bottom style="double">
        <color auto="1"/>
      </bottom>
      <diagonal/>
    </border>
    <border>
      <left style="thin">
        <color indexed="64"/>
      </left>
      <right style="thick">
        <color rgb="FFFF0000"/>
      </right>
      <top style="thin">
        <color indexed="64"/>
      </top>
      <bottom style="double">
        <color indexed="64"/>
      </bottom>
      <diagonal/>
    </border>
    <border>
      <left style="thick">
        <color auto="1"/>
      </left>
      <right style="thin">
        <color auto="1"/>
      </right>
      <top/>
      <bottom style="thick">
        <color auto="1"/>
      </bottom>
      <diagonal/>
    </border>
    <border>
      <left style="thick">
        <color auto="1"/>
      </left>
      <right style="thin">
        <color auto="1"/>
      </right>
      <top style="thin">
        <color indexed="64"/>
      </top>
      <bottom style="thick">
        <color indexed="64"/>
      </bottom>
      <diagonal/>
    </border>
    <border>
      <left/>
      <right/>
      <top style="medium">
        <color auto="1"/>
      </top>
      <bottom style="thin">
        <color auto="1"/>
      </bottom>
      <diagonal/>
    </border>
    <border>
      <left style="thick">
        <color auto="1"/>
      </left>
      <right style="thick">
        <color auto="1"/>
      </right>
      <top/>
      <bottom style="thin">
        <color auto="1"/>
      </bottom>
      <diagonal/>
    </border>
    <border>
      <left style="thick">
        <color rgb="FFFF0000"/>
      </left>
      <right style="thin">
        <color auto="1"/>
      </right>
      <top/>
      <bottom style="double">
        <color auto="1"/>
      </bottom>
      <diagonal/>
    </border>
    <border>
      <left style="thin">
        <color indexed="64"/>
      </left>
      <right style="thick">
        <color auto="1"/>
      </right>
      <top style="thin">
        <color indexed="64"/>
      </top>
      <bottom style="thick">
        <color indexed="64"/>
      </bottom>
      <diagonal/>
    </border>
    <border>
      <left style="thin">
        <color auto="1"/>
      </left>
      <right style="double">
        <color auto="1"/>
      </right>
      <top style="thin">
        <color auto="1"/>
      </top>
      <bottom style="double">
        <color auto="1"/>
      </bottom>
      <diagonal/>
    </border>
    <border>
      <left/>
      <right style="thick">
        <color rgb="FFFF0000"/>
      </right>
      <top style="thin">
        <color auto="1"/>
      </top>
      <bottom style="thin">
        <color auto="1"/>
      </bottom>
      <diagonal/>
    </border>
    <border>
      <left style="thin">
        <color auto="1"/>
      </left>
      <right/>
      <top style="medium">
        <color auto="1"/>
      </top>
      <bottom style="thick">
        <color auto="1"/>
      </bottom>
      <diagonal/>
    </border>
    <border>
      <left/>
      <right style="thin">
        <color auto="1"/>
      </right>
      <top/>
      <bottom style="double">
        <color auto="1"/>
      </bottom>
      <diagonal/>
    </border>
    <border>
      <left/>
      <right/>
      <top style="thick">
        <color auto="1"/>
      </top>
      <bottom style="thin">
        <color auto="1"/>
      </bottom>
      <diagonal/>
    </border>
    <border>
      <left/>
      <right/>
      <top/>
      <bottom style="thick">
        <color indexed="64"/>
      </bottom>
      <diagonal/>
    </border>
    <border>
      <left style="thick">
        <color auto="1"/>
      </left>
      <right/>
      <top style="thin">
        <color auto="1"/>
      </top>
      <bottom style="thick">
        <color auto="1"/>
      </bottom>
      <diagonal/>
    </border>
    <border>
      <left/>
      <right style="thin">
        <color auto="1"/>
      </right>
      <top style="medium">
        <color auto="1"/>
      </top>
      <bottom style="thick">
        <color auto="1"/>
      </bottom>
      <diagonal/>
    </border>
    <border>
      <left/>
      <right style="thin">
        <color indexed="64"/>
      </right>
      <top style="thick">
        <color indexed="64"/>
      </top>
      <bottom style="thick">
        <color auto="1"/>
      </bottom>
      <diagonal/>
    </border>
    <border>
      <left style="thick">
        <color auto="1"/>
      </left>
      <right/>
      <top style="thin">
        <color auto="1"/>
      </top>
      <bottom/>
      <diagonal/>
    </border>
    <border>
      <left style="thick">
        <color rgb="FFFF0000"/>
      </left>
      <right/>
      <top/>
      <bottom style="thin">
        <color indexed="64"/>
      </bottom>
      <diagonal/>
    </border>
    <border>
      <left style="thin">
        <color indexed="64"/>
      </left>
      <right style="thick">
        <color rgb="FFFF0000"/>
      </right>
      <top/>
      <bottom style="thin">
        <color indexed="64"/>
      </bottom>
      <diagonal/>
    </border>
    <border>
      <left style="thin">
        <color auto="1"/>
      </left>
      <right style="thin">
        <color auto="1"/>
      </right>
      <top style="thick">
        <color auto="1"/>
      </top>
      <bottom style="thick">
        <color auto="1"/>
      </bottom>
      <diagonal/>
    </border>
    <border>
      <left/>
      <right style="thick">
        <color rgb="FFFF0000"/>
      </right>
      <top/>
      <bottom style="thin">
        <color auto="1"/>
      </bottom>
      <diagonal/>
    </border>
    <border>
      <left style="thick">
        <color rgb="FFFF0000"/>
      </left>
      <right/>
      <top style="thin">
        <color auto="1"/>
      </top>
      <bottom/>
      <diagonal/>
    </border>
    <border>
      <left style="thick">
        <color rgb="FFFF0000"/>
      </left>
      <right style="thin">
        <color auto="1"/>
      </right>
      <top style="medium">
        <color auto="1"/>
      </top>
      <bottom style="medium">
        <color auto="1"/>
      </bottom>
      <diagonal/>
    </border>
    <border>
      <left style="thin">
        <color auto="1"/>
      </left>
      <right style="thick">
        <color rgb="FFFF0000"/>
      </right>
      <top style="medium">
        <color auto="1"/>
      </top>
      <bottom style="medium">
        <color auto="1"/>
      </bottom>
      <diagonal/>
    </border>
    <border>
      <left style="thick">
        <color rgb="FFFF0000"/>
      </left>
      <right style="thin">
        <color indexed="64"/>
      </right>
      <top style="medium">
        <color indexed="64"/>
      </top>
      <bottom/>
      <diagonal/>
    </border>
    <border>
      <left style="thin">
        <color auto="1"/>
      </left>
      <right style="thick">
        <color rgb="FFFF0000"/>
      </right>
      <top/>
      <bottom/>
      <diagonal/>
    </border>
    <border>
      <left style="thick">
        <color rgb="FFFF0000"/>
      </left>
      <right style="thin">
        <color auto="1"/>
      </right>
      <top style="thin">
        <color auto="1"/>
      </top>
      <bottom style="medium">
        <color auto="1"/>
      </bottom>
      <diagonal/>
    </border>
    <border>
      <left style="thin">
        <color auto="1"/>
      </left>
      <right style="thick">
        <color rgb="FFFF0000"/>
      </right>
      <top style="thin">
        <color auto="1"/>
      </top>
      <bottom style="medium">
        <color auto="1"/>
      </bottom>
      <diagonal/>
    </border>
    <border>
      <left style="thick">
        <color rgb="FFFF0000"/>
      </left>
      <right/>
      <top style="medium">
        <color auto="1"/>
      </top>
      <bottom style="thin">
        <color auto="1"/>
      </bottom>
      <diagonal/>
    </border>
    <border>
      <left style="thick">
        <color rgb="FFFF0000"/>
      </left>
      <right/>
      <top style="thin">
        <color auto="1"/>
      </top>
      <bottom style="double">
        <color auto="1"/>
      </bottom>
      <diagonal/>
    </border>
    <border>
      <left style="thick">
        <color auto="1"/>
      </left>
      <right/>
      <top style="thin">
        <color auto="1"/>
      </top>
      <bottom style="double">
        <color auto="1"/>
      </bottom>
      <diagonal/>
    </border>
    <border>
      <left style="thick">
        <color rgb="FFFF0000"/>
      </left>
      <right/>
      <top/>
      <bottom/>
      <diagonal/>
    </border>
    <border>
      <left style="thin">
        <color auto="1"/>
      </left>
      <right style="thick">
        <color rgb="FFFF0000"/>
      </right>
      <top style="medium">
        <color auto="1"/>
      </top>
      <bottom style="thin">
        <color auto="1"/>
      </bottom>
      <diagonal/>
    </border>
    <border>
      <left/>
      <right style="thick">
        <color rgb="FFFF0000"/>
      </right>
      <top style="thick">
        <color rgb="FFFF0000"/>
      </top>
      <bottom/>
      <diagonal/>
    </border>
    <border>
      <left style="thick">
        <color rgb="FFFF0000"/>
      </left>
      <right/>
      <top style="thick">
        <color rgb="FFFF0000"/>
      </top>
      <bottom/>
      <diagonal/>
    </border>
    <border>
      <left/>
      <right/>
      <top style="thick">
        <color rgb="FFFF0000"/>
      </top>
      <bottom/>
      <diagonal/>
    </border>
    <border>
      <left/>
      <right/>
      <top style="thin">
        <color indexed="64"/>
      </top>
      <bottom style="thick">
        <color indexed="64"/>
      </bottom>
      <diagonal/>
    </border>
    <border>
      <left style="thick">
        <color rgb="FFFF0000"/>
      </left>
      <right style="thin">
        <color auto="1"/>
      </right>
      <top/>
      <bottom/>
      <diagonal/>
    </border>
    <border>
      <left style="thick">
        <color rgb="FFFF0000"/>
      </left>
      <right style="thin">
        <color auto="1"/>
      </right>
      <top style="double">
        <color indexed="64"/>
      </top>
      <bottom/>
      <diagonal/>
    </border>
    <border>
      <left style="thin">
        <color auto="1"/>
      </left>
      <right style="thin">
        <color auto="1"/>
      </right>
      <top style="double">
        <color auto="1"/>
      </top>
      <bottom/>
      <diagonal/>
    </border>
    <border>
      <left/>
      <right style="hair">
        <color auto="1"/>
      </right>
      <top style="hair">
        <color auto="1"/>
      </top>
      <bottom/>
      <diagonal/>
    </border>
    <border>
      <left style="thin">
        <color auto="1"/>
      </left>
      <right/>
      <top style="double">
        <color auto="1"/>
      </top>
      <bottom/>
      <diagonal/>
    </border>
    <border>
      <left/>
      <right style="thin">
        <color auto="1"/>
      </right>
      <top style="double">
        <color auto="1"/>
      </top>
      <bottom/>
      <diagonal/>
    </border>
    <border>
      <left/>
      <right/>
      <top/>
      <bottom style="thin">
        <color theme="4" tint="0.39997558519241921"/>
      </bottom>
      <diagonal/>
    </border>
    <border>
      <left/>
      <right/>
      <top style="thin">
        <color theme="4" tint="0.39997558519241921"/>
      </top>
      <bottom/>
      <diagonal/>
    </border>
    <border>
      <left style="thin">
        <color theme="1"/>
      </left>
      <right style="thin">
        <color theme="1"/>
      </right>
      <top style="thin">
        <color theme="1"/>
      </top>
      <bottom style="double">
        <color theme="1"/>
      </bottom>
      <diagonal/>
    </border>
    <border>
      <left/>
      <right/>
      <top style="thin">
        <color theme="1"/>
      </top>
      <bottom style="double">
        <color theme="1"/>
      </bottom>
      <diagonal/>
    </border>
    <border>
      <left style="thin">
        <color auto="1"/>
      </left>
      <right style="thin">
        <color indexed="64"/>
      </right>
      <top style="double">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ck">
        <color auto="1"/>
      </right>
      <top style="medium">
        <color auto="1"/>
      </top>
      <bottom style="thin">
        <color auto="1"/>
      </bottom>
      <diagonal/>
    </border>
    <border>
      <left style="double">
        <color auto="1"/>
      </left>
      <right/>
      <top style="thin">
        <color auto="1"/>
      </top>
      <bottom style="thin">
        <color auto="1"/>
      </bottom>
      <diagonal/>
    </border>
    <border>
      <left style="thin">
        <color auto="1"/>
      </left>
      <right style="double">
        <color auto="1"/>
      </right>
      <top style="thin">
        <color auto="1"/>
      </top>
      <bottom style="thin">
        <color auto="1"/>
      </bottom>
      <diagonal/>
    </border>
    <border>
      <left/>
      <right style="thick">
        <color rgb="FFFF0000"/>
      </right>
      <top style="thin">
        <color indexed="64"/>
      </top>
      <bottom/>
      <diagonal/>
    </border>
    <border>
      <left style="thick">
        <color rgb="FFFF0000"/>
      </left>
      <right/>
      <top style="double">
        <color auto="1"/>
      </top>
      <bottom/>
      <diagonal/>
    </border>
    <border>
      <left/>
      <right style="thick">
        <color rgb="FFFF0000"/>
      </right>
      <top style="double">
        <color auto="1"/>
      </top>
      <bottom/>
      <diagonal/>
    </border>
    <border>
      <left style="thick">
        <color rgb="FFFF0000"/>
      </left>
      <right/>
      <top style="thin">
        <color auto="1"/>
      </top>
      <bottom style="double">
        <color rgb="FFFF0000"/>
      </bottom>
      <diagonal/>
    </border>
    <border>
      <left/>
      <right style="thin">
        <color auto="1"/>
      </right>
      <top style="thin">
        <color auto="1"/>
      </top>
      <bottom style="double">
        <color rgb="FFFF0000"/>
      </bottom>
      <diagonal/>
    </border>
    <border>
      <left style="thin">
        <color auto="1"/>
      </left>
      <right/>
      <top style="thin">
        <color auto="1"/>
      </top>
      <bottom style="double">
        <color rgb="FFFF0000"/>
      </bottom>
      <diagonal/>
    </border>
    <border>
      <left style="thick">
        <color auto="1"/>
      </left>
      <right style="thick">
        <color auto="1"/>
      </right>
      <top style="thin">
        <color auto="1"/>
      </top>
      <bottom style="double">
        <color rgb="FFFF0000"/>
      </bottom>
      <diagonal/>
    </border>
    <border>
      <left style="thin">
        <color auto="1"/>
      </left>
      <right style="thin">
        <color auto="1"/>
      </right>
      <top style="thin">
        <color auto="1"/>
      </top>
      <bottom style="double">
        <color rgb="FFFF0000"/>
      </bottom>
      <diagonal/>
    </border>
    <border>
      <left style="thin">
        <color indexed="64"/>
      </left>
      <right style="thick">
        <color rgb="FFFF0000"/>
      </right>
      <top style="thin">
        <color auto="1"/>
      </top>
      <bottom style="double">
        <color rgb="FFFF0000"/>
      </bottom>
      <diagonal/>
    </border>
    <border>
      <left style="thin">
        <color theme="1"/>
      </left>
      <right/>
      <top style="thin">
        <color auto="1"/>
      </top>
      <bottom style="double">
        <color theme="1"/>
      </bottom>
      <diagonal/>
    </border>
    <border>
      <left/>
      <right style="thick">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thick">
        <color auto="1"/>
      </left>
      <right style="medium">
        <color auto="1"/>
      </right>
      <top style="thin">
        <color auto="1"/>
      </top>
      <bottom style="thin">
        <color auto="1"/>
      </bottom>
      <diagonal/>
    </border>
    <border>
      <left style="medium">
        <color auto="1"/>
      </left>
      <right/>
      <top style="thin">
        <color auto="1"/>
      </top>
      <bottom style="thin">
        <color indexed="64"/>
      </bottom>
      <diagonal/>
    </border>
    <border>
      <left style="thick">
        <color auto="1"/>
      </left>
      <right style="medium">
        <color auto="1"/>
      </right>
      <top style="thin">
        <color auto="1"/>
      </top>
      <bottom/>
      <diagonal/>
    </border>
    <border>
      <left style="thick">
        <color auto="1"/>
      </left>
      <right style="medium">
        <color auto="1"/>
      </right>
      <top style="thin">
        <color indexed="64"/>
      </top>
      <bottom style="thick">
        <color indexed="64"/>
      </bottom>
      <diagonal/>
    </border>
    <border>
      <left style="medium">
        <color auto="1"/>
      </left>
      <right style="thin">
        <color indexed="64"/>
      </right>
      <top style="thick">
        <color indexed="64"/>
      </top>
      <bottom style="thin">
        <color indexed="64"/>
      </bottom>
      <diagonal/>
    </border>
    <border>
      <left style="thick">
        <color auto="1"/>
      </left>
      <right style="medium">
        <color auto="1"/>
      </right>
      <top style="thick">
        <color auto="1"/>
      </top>
      <bottom style="thin">
        <color auto="1"/>
      </bottom>
      <diagonal/>
    </border>
    <border>
      <left style="thick">
        <color auto="1"/>
      </left>
      <right style="medium">
        <color auto="1"/>
      </right>
      <top/>
      <bottom/>
      <diagonal/>
    </border>
    <border>
      <left style="medium">
        <color auto="1"/>
      </left>
      <right style="thin">
        <color indexed="64"/>
      </right>
      <top style="thin">
        <color indexed="64"/>
      </top>
      <bottom style="thick">
        <color indexed="64"/>
      </bottom>
      <diagonal/>
    </border>
    <border>
      <left style="thick">
        <color auto="1"/>
      </left>
      <right style="medium">
        <color auto="1"/>
      </right>
      <top/>
      <bottom style="thick">
        <color auto="1"/>
      </bottom>
      <diagonal/>
    </border>
    <border>
      <left style="thick">
        <color auto="1"/>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style="thick">
        <color auto="1"/>
      </left>
      <right style="medium">
        <color auto="1"/>
      </right>
      <top style="thin">
        <color auto="1"/>
      </top>
      <bottom style="double">
        <color auto="1"/>
      </bottom>
      <diagonal/>
    </border>
    <border>
      <left/>
      <right style="medium">
        <color auto="1"/>
      </right>
      <top style="thin">
        <color auto="1"/>
      </top>
      <bottom style="double">
        <color auto="1"/>
      </bottom>
      <diagonal/>
    </border>
  </borders>
  <cellStyleXfs count="6">
    <xf numFmtId="0" fontId="0" fillId="0" borderId="0"/>
    <xf numFmtId="166"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0" fontId="29" fillId="0" borderId="0" applyNumberFormat="0" applyFill="0" applyBorder="0" applyAlignment="0" applyProtection="0"/>
    <xf numFmtId="0" fontId="17" fillId="0" borderId="0"/>
  </cellStyleXfs>
  <cellXfs count="2646">
    <xf numFmtId="0" fontId="0" fillId="0" borderId="0" xfId="0"/>
    <xf numFmtId="0" fontId="0" fillId="0" borderId="0" xfId="0" applyAlignment="1">
      <alignment vertical="center"/>
    </xf>
    <xf numFmtId="0" fontId="0" fillId="2" borderId="0" xfId="0" applyFill="1" applyAlignment="1">
      <alignment vertical="center"/>
    </xf>
    <xf numFmtId="168" fontId="0" fillId="0" borderId="2" xfId="1" applyNumberFormat="1" applyFont="1" applyBorder="1" applyAlignment="1">
      <alignment vertical="center"/>
    </xf>
    <xf numFmtId="168" fontId="0" fillId="0" borderId="17" xfId="1" applyNumberFormat="1" applyFont="1" applyBorder="1" applyAlignment="1">
      <alignment vertical="center"/>
    </xf>
    <xf numFmtId="168" fontId="3" fillId="0" borderId="9" xfId="1" applyNumberFormat="1" applyFont="1" applyBorder="1" applyAlignment="1">
      <alignment vertical="center"/>
    </xf>
    <xf numFmtId="168" fontId="0" fillId="0" borderId="2" xfId="0" applyNumberFormat="1" applyBorder="1" applyAlignment="1">
      <alignment vertical="center"/>
    </xf>
    <xf numFmtId="168" fontId="0" fillId="0" borderId="2" xfId="0" applyNumberFormat="1" applyBorder="1" applyAlignment="1">
      <alignment vertical="center" wrapText="1"/>
    </xf>
    <xf numFmtId="0" fontId="3" fillId="0" borderId="2" xfId="0" applyFont="1" applyBorder="1" applyAlignment="1">
      <alignment horizontal="center" vertical="center"/>
    </xf>
    <xf numFmtId="0" fontId="0" fillId="0" borderId="3" xfId="0" applyBorder="1" applyAlignment="1">
      <alignment vertical="center"/>
    </xf>
    <xf numFmtId="0" fontId="0" fillId="0" borderId="17" xfId="0" applyBorder="1" applyAlignment="1">
      <alignment vertical="center"/>
    </xf>
    <xf numFmtId="168" fontId="3" fillId="0" borderId="9" xfId="0" applyNumberFormat="1" applyFont="1" applyBorder="1" applyAlignment="1">
      <alignment vertical="center"/>
    </xf>
    <xf numFmtId="0" fontId="0" fillId="2" borderId="2" xfId="0" applyFill="1" applyBorder="1" applyAlignment="1">
      <alignment vertical="center"/>
    </xf>
    <xf numFmtId="0" fontId="0" fillId="2" borderId="17" xfId="0" applyFill="1" applyBorder="1" applyAlignment="1">
      <alignment vertical="center"/>
    </xf>
    <xf numFmtId="0" fontId="0" fillId="2" borderId="0" xfId="0" applyFill="1"/>
    <xf numFmtId="170" fontId="0" fillId="0" borderId="2" xfId="0" applyNumberFormat="1" applyBorder="1" applyAlignment="1">
      <alignment horizontal="left" vertical="center"/>
    </xf>
    <xf numFmtId="171" fontId="0" fillId="2" borderId="2" xfId="1" applyNumberFormat="1" applyFont="1" applyFill="1" applyBorder="1" applyAlignment="1">
      <alignment horizontal="right" vertical="center"/>
    </xf>
    <xf numFmtId="170" fontId="3" fillId="2" borderId="9" xfId="0" applyNumberFormat="1" applyFont="1" applyFill="1" applyBorder="1" applyAlignment="1">
      <alignment horizontal="left" vertical="center"/>
    </xf>
    <xf numFmtId="0" fontId="0" fillId="0" borderId="2" xfId="0" applyBorder="1"/>
    <xf numFmtId="14" fontId="0" fillId="0" borderId="2" xfId="0" applyNumberFormat="1" applyBorder="1" applyAlignment="1">
      <alignment vertical="center"/>
    </xf>
    <xf numFmtId="164" fontId="0" fillId="0" borderId="0" xfId="0" applyNumberFormat="1" applyAlignment="1">
      <alignment vertical="center"/>
    </xf>
    <xf numFmtId="166" fontId="0" fillId="0" borderId="2" xfId="1" applyFont="1" applyBorder="1" applyAlignment="1">
      <alignment vertical="center"/>
    </xf>
    <xf numFmtId="164" fontId="0" fillId="0" borderId="2" xfId="0" applyNumberFormat="1" applyBorder="1" applyAlignment="1">
      <alignment horizontal="right" vertical="center"/>
    </xf>
    <xf numFmtId="14" fontId="0" fillId="0" borderId="9" xfId="0" applyNumberFormat="1" applyBorder="1" applyAlignment="1">
      <alignment vertical="center"/>
    </xf>
    <xf numFmtId="0" fontId="0" fillId="0" borderId="9" xfId="0" applyBorder="1" applyAlignment="1">
      <alignment vertical="center"/>
    </xf>
    <xf numFmtId="0" fontId="0" fillId="0" borderId="9" xfId="0" applyBorder="1" applyAlignment="1">
      <alignment horizontal="center" vertical="center"/>
    </xf>
    <xf numFmtId="165" fontId="0" fillId="0" borderId="2" xfId="0" applyNumberFormat="1" applyBorder="1" applyAlignment="1">
      <alignment vertical="center"/>
    </xf>
    <xf numFmtId="0" fontId="3" fillId="0" borderId="2" xfId="1" applyNumberFormat="1" applyFont="1" applyBorder="1" applyAlignment="1">
      <alignment horizontal="center" vertical="center"/>
    </xf>
    <xf numFmtId="165" fontId="0" fillId="0" borderId="2" xfId="1" applyNumberFormat="1" applyFont="1" applyBorder="1" applyAlignment="1">
      <alignment vertical="center"/>
    </xf>
    <xf numFmtId="14" fontId="3" fillId="0" borderId="2" xfId="0" applyNumberFormat="1" applyFont="1" applyBorder="1" applyAlignment="1">
      <alignment horizontal="center" vertical="center"/>
    </xf>
    <xf numFmtId="164" fontId="0" fillId="0" borderId="2" xfId="1" applyNumberFormat="1" applyFont="1" applyBorder="1" applyAlignment="1">
      <alignment vertical="center"/>
    </xf>
    <xf numFmtId="0" fontId="0" fillId="0" borderId="2" xfId="0" applyBorder="1" applyAlignment="1">
      <alignment vertical="center" wrapText="1"/>
    </xf>
    <xf numFmtId="0" fontId="0" fillId="0" borderId="9" xfId="0" applyBorder="1" applyAlignment="1">
      <alignment vertical="center" wrapText="1"/>
    </xf>
    <xf numFmtId="0" fontId="0" fillId="2" borderId="2" xfId="0" applyFill="1" applyBorder="1" applyAlignment="1">
      <alignment vertical="center" wrapText="1"/>
    </xf>
    <xf numFmtId="165" fontId="0" fillId="0" borderId="0" xfId="0" applyNumberFormat="1" applyAlignment="1">
      <alignment vertical="center"/>
    </xf>
    <xf numFmtId="172" fontId="3" fillId="2" borderId="2" xfId="0" applyNumberFormat="1" applyFont="1" applyFill="1" applyBorder="1" applyAlignment="1">
      <alignment horizontal="center" vertical="center"/>
    </xf>
    <xf numFmtId="172" fontId="3" fillId="0" borderId="2" xfId="0" applyNumberFormat="1" applyFont="1" applyBorder="1" applyAlignment="1">
      <alignment horizontal="center" vertical="center"/>
    </xf>
    <xf numFmtId="164" fontId="0" fillId="2" borderId="2" xfId="0" applyNumberFormat="1" applyFill="1" applyBorder="1" applyAlignment="1">
      <alignment vertical="center"/>
    </xf>
    <xf numFmtId="164" fontId="0" fillId="0" borderId="2" xfId="0" applyNumberFormat="1" applyBorder="1" applyAlignment="1">
      <alignment vertical="center"/>
    </xf>
    <xf numFmtId="164" fontId="3" fillId="0" borderId="2" xfId="0" applyNumberFormat="1" applyFont="1" applyBorder="1" applyAlignment="1">
      <alignment vertical="center"/>
    </xf>
    <xf numFmtId="164" fontId="3" fillId="2" borderId="2" xfId="0" applyNumberFormat="1" applyFont="1" applyFill="1" applyBorder="1" applyAlignment="1">
      <alignment vertical="center"/>
    </xf>
    <xf numFmtId="164" fontId="3" fillId="2" borderId="9" xfId="0" applyNumberFormat="1" applyFont="1" applyFill="1" applyBorder="1" applyAlignment="1">
      <alignment vertical="center"/>
    </xf>
    <xf numFmtId="164" fontId="3" fillId="0" borderId="9" xfId="0" applyNumberFormat="1" applyFont="1" applyBorder="1" applyAlignment="1">
      <alignment vertical="center"/>
    </xf>
    <xf numFmtId="164" fontId="0" fillId="2" borderId="0" xfId="0" applyNumberFormat="1" applyFill="1" applyAlignment="1">
      <alignment vertical="center"/>
    </xf>
    <xf numFmtId="0" fontId="3" fillId="0" borderId="2" xfId="0" applyFont="1" applyBorder="1" applyAlignment="1">
      <alignment vertical="center"/>
    </xf>
    <xf numFmtId="0" fontId="0" fillId="0" borderId="5" xfId="0" applyBorder="1" applyAlignment="1">
      <alignment vertical="center"/>
    </xf>
    <xf numFmtId="164" fontId="0" fillId="0" borderId="17" xfId="0" applyNumberFormat="1" applyBorder="1" applyAlignment="1">
      <alignment vertical="center"/>
    </xf>
    <xf numFmtId="14" fontId="0" fillId="0" borderId="2" xfId="0" applyNumberFormat="1" applyBorder="1"/>
    <xf numFmtId="0" fontId="17" fillId="2" borderId="2" xfId="0" applyFont="1" applyFill="1" applyBorder="1" applyAlignment="1">
      <alignment vertical="center" wrapText="1"/>
    </xf>
    <xf numFmtId="164" fontId="18" fillId="2" borderId="2" xfId="1" applyNumberFormat="1" applyFont="1" applyFill="1" applyBorder="1" applyAlignment="1">
      <alignment vertical="center"/>
    </xf>
    <xf numFmtId="0" fontId="19" fillId="2" borderId="2" xfId="0" applyFont="1" applyFill="1" applyBorder="1" applyAlignment="1">
      <alignment vertical="center"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2" fillId="2" borderId="2" xfId="1" applyNumberFormat="1" applyFill="1" applyBorder="1" applyAlignment="1">
      <alignment horizontal="center" vertical="center"/>
    </xf>
    <xf numFmtId="164" fontId="0" fillId="2" borderId="2" xfId="1" applyNumberFormat="1" applyFont="1" applyFill="1" applyBorder="1" applyAlignment="1">
      <alignment vertical="center"/>
    </xf>
    <xf numFmtId="0" fontId="0" fillId="2" borderId="2" xfId="1" applyNumberFormat="1" applyFont="1" applyFill="1" applyBorder="1" applyAlignment="1">
      <alignment horizontal="center" vertical="center"/>
    </xf>
    <xf numFmtId="0" fontId="0" fillId="2" borderId="17" xfId="0" applyFill="1" applyBorder="1" applyAlignment="1">
      <alignment horizontal="center" vertical="center"/>
    </xf>
    <xf numFmtId="0" fontId="0" fillId="2" borderId="3" xfId="0" applyFill="1" applyBorder="1" applyAlignment="1">
      <alignment vertical="center"/>
    </xf>
    <xf numFmtId="0" fontId="0" fillId="2" borderId="13" xfId="0" applyFill="1" applyBorder="1" applyAlignment="1">
      <alignment vertical="center"/>
    </xf>
    <xf numFmtId="0" fontId="0" fillId="2" borderId="7" xfId="0" applyFill="1" applyBorder="1" applyAlignment="1">
      <alignment horizontal="center" vertical="center"/>
    </xf>
    <xf numFmtId="0" fontId="0" fillId="2" borderId="9" xfId="0" applyFill="1" applyBorder="1" applyAlignment="1">
      <alignment vertical="center"/>
    </xf>
    <xf numFmtId="0" fontId="0" fillId="2" borderId="9" xfId="0" applyFill="1" applyBorder="1" applyAlignment="1">
      <alignment horizontal="center" vertical="center"/>
    </xf>
    <xf numFmtId="165" fontId="3" fillId="2" borderId="9" xfId="1" applyNumberFormat="1" applyFont="1" applyFill="1" applyBorder="1" applyAlignment="1">
      <alignment vertical="center"/>
    </xf>
    <xf numFmtId="0" fontId="9" fillId="2" borderId="2" xfId="0" applyFont="1" applyFill="1" applyBorder="1" applyAlignment="1">
      <alignment horizontal="center" vertical="center" wrapText="1"/>
    </xf>
    <xf numFmtId="0" fontId="0" fillId="2" borderId="7" xfId="1" applyNumberFormat="1" applyFont="1" applyFill="1" applyBorder="1" applyAlignment="1">
      <alignment horizontal="center" vertical="center"/>
    </xf>
    <xf numFmtId="0" fontId="0" fillId="2" borderId="17" xfId="1" applyNumberFormat="1" applyFont="1" applyFill="1" applyBorder="1" applyAlignment="1">
      <alignment horizontal="center" vertical="center"/>
    </xf>
    <xf numFmtId="170" fontId="0" fillId="0" borderId="2" xfId="0" applyNumberFormat="1" applyBorder="1" applyAlignment="1">
      <alignment horizontal="center"/>
    </xf>
    <xf numFmtId="17" fontId="0" fillId="0" borderId="2" xfId="0" applyNumberFormat="1" applyBorder="1" applyAlignment="1">
      <alignment horizontal="center"/>
    </xf>
    <xf numFmtId="174" fontId="0" fillId="0" borderId="2" xfId="0" applyNumberFormat="1" applyBorder="1"/>
    <xf numFmtId="0" fontId="0" fillId="0" borderId="2" xfId="0"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wrapText="1"/>
    </xf>
    <xf numFmtId="0" fontId="3" fillId="0" borderId="0" xfId="0" applyFont="1" applyAlignment="1">
      <alignment vertical="center"/>
    </xf>
    <xf numFmtId="0" fontId="0" fillId="0" borderId="2" xfId="0" applyBorder="1" applyAlignment="1">
      <alignment vertical="center"/>
    </xf>
    <xf numFmtId="175" fontId="0" fillId="0" borderId="2" xfId="2" applyNumberFormat="1" applyFont="1" applyBorder="1" applyAlignment="1">
      <alignment horizontal="center" vertical="center"/>
    </xf>
    <xf numFmtId="175" fontId="0" fillId="0" borderId="17" xfId="2" applyNumberFormat="1" applyFont="1" applyBorder="1" applyAlignment="1">
      <alignment horizontal="center" vertical="center"/>
    </xf>
    <xf numFmtId="0" fontId="3" fillId="0" borderId="30" xfId="0" applyFont="1" applyBorder="1" applyAlignment="1">
      <alignment vertical="center"/>
    </xf>
    <xf numFmtId="175" fontId="3" fillId="0" borderId="30" xfId="2" applyNumberFormat="1" applyFont="1" applyBorder="1" applyAlignment="1">
      <alignment horizontal="center" vertical="center"/>
    </xf>
    <xf numFmtId="168" fontId="3" fillId="0" borderId="30" xfId="1" applyNumberFormat="1" applyFont="1" applyBorder="1" applyAlignment="1">
      <alignment vertical="center"/>
    </xf>
    <xf numFmtId="175" fontId="0" fillId="0" borderId="30" xfId="2" applyNumberFormat="1" applyFont="1" applyBorder="1" applyAlignment="1">
      <alignment horizontal="center" vertical="center"/>
    </xf>
    <xf numFmtId="0" fontId="0" fillId="0" borderId="6" xfId="0" applyBorder="1" applyAlignment="1">
      <alignment vertical="center"/>
    </xf>
    <xf numFmtId="0" fontId="0" fillId="2" borderId="5" xfId="0" applyFill="1" applyBorder="1" applyAlignment="1">
      <alignment vertical="center"/>
    </xf>
    <xf numFmtId="168" fontId="0" fillId="2" borderId="2" xfId="0" applyNumberFormat="1" applyFill="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168" fontId="0" fillId="0" borderId="3" xfId="1" applyNumberFormat="1" applyFont="1" applyBorder="1" applyAlignment="1">
      <alignment vertical="center"/>
    </xf>
    <xf numFmtId="168" fontId="0" fillId="0" borderId="15" xfId="1" applyNumberFormat="1" applyFont="1" applyBorder="1" applyAlignment="1">
      <alignment vertical="center"/>
    </xf>
    <xf numFmtId="168" fontId="3" fillId="0" borderId="33" xfId="1" applyNumberFormat="1" applyFont="1" applyBorder="1" applyAlignment="1">
      <alignment vertical="center"/>
    </xf>
    <xf numFmtId="168" fontId="3" fillId="0" borderId="10" xfId="1" applyNumberFormat="1" applyFont="1" applyBorder="1" applyAlignment="1">
      <alignment vertical="center"/>
    </xf>
    <xf numFmtId="168" fontId="0" fillId="0" borderId="5" xfId="1" applyNumberFormat="1" applyFont="1" applyBorder="1" applyAlignment="1">
      <alignment vertical="center"/>
    </xf>
    <xf numFmtId="168" fontId="0" fillId="0" borderId="20" xfId="1" applyNumberFormat="1" applyFont="1" applyBorder="1" applyAlignment="1">
      <alignment vertical="center"/>
    </xf>
    <xf numFmtId="168" fontId="3" fillId="0" borderId="34" xfId="1" applyNumberFormat="1" applyFont="1" applyBorder="1" applyAlignment="1">
      <alignment vertical="center"/>
    </xf>
    <xf numFmtId="168" fontId="3" fillId="0" borderId="12" xfId="1" applyNumberFormat="1" applyFont="1" applyBorder="1" applyAlignment="1">
      <alignment vertical="center"/>
    </xf>
    <xf numFmtId="0" fontId="0" fillId="0" borderId="22" xfId="0" applyBorder="1" applyAlignment="1">
      <alignment horizontal="center" vertical="center" wrapText="1"/>
    </xf>
    <xf numFmtId="168" fontId="0" fillId="0" borderId="22" xfId="1" applyNumberFormat="1" applyFont="1" applyBorder="1" applyAlignment="1">
      <alignment vertical="center"/>
    </xf>
    <xf numFmtId="168" fontId="3" fillId="0" borderId="35" xfId="1" applyNumberFormat="1" applyFont="1" applyBorder="1" applyAlignment="1">
      <alignment vertical="center"/>
    </xf>
    <xf numFmtId="168" fontId="0" fillId="0" borderId="36" xfId="1" applyNumberFormat="1" applyFont="1" applyBorder="1" applyAlignment="1">
      <alignment vertical="center"/>
    </xf>
    <xf numFmtId="168" fontId="3" fillId="0" borderId="32" xfId="1" applyNumberFormat="1" applyFont="1" applyBorder="1" applyAlignment="1">
      <alignment vertical="center"/>
    </xf>
    <xf numFmtId="164" fontId="0" fillId="0" borderId="9" xfId="0" applyNumberFormat="1" applyBorder="1" applyAlignment="1">
      <alignment vertical="center"/>
    </xf>
    <xf numFmtId="0" fontId="0" fillId="0" borderId="2" xfId="1" applyNumberFormat="1" applyFont="1" applyBorder="1" applyAlignment="1">
      <alignment vertical="center"/>
    </xf>
    <xf numFmtId="0" fontId="0" fillId="0" borderId="2" xfId="1" applyNumberFormat="1" applyFont="1" applyBorder="1" applyAlignment="1">
      <alignment horizontal="center" vertical="center"/>
    </xf>
    <xf numFmtId="0" fontId="0" fillId="0" borderId="3" xfId="0" applyBorder="1" applyAlignment="1">
      <alignment horizontal="center" vertical="center" wrapText="1"/>
    </xf>
    <xf numFmtId="0" fontId="0" fillId="2" borderId="2" xfId="0" applyFill="1" applyBorder="1" applyAlignment="1">
      <alignment horizontal="left" vertical="center" wrapText="1"/>
    </xf>
    <xf numFmtId="164" fontId="0" fillId="2" borderId="44" xfId="1" applyNumberFormat="1" applyFont="1" applyFill="1" applyBorder="1" applyAlignment="1">
      <alignment horizontal="right" vertical="center"/>
    </xf>
    <xf numFmtId="168" fontId="3" fillId="0" borderId="8" xfId="1" applyNumberFormat="1" applyFont="1" applyBorder="1" applyAlignment="1">
      <alignment vertical="center"/>
    </xf>
    <xf numFmtId="168" fontId="3" fillId="0" borderId="7" xfId="1" applyNumberFormat="1" applyFont="1" applyBorder="1" applyAlignment="1">
      <alignment vertical="center"/>
    </xf>
    <xf numFmtId="0" fontId="0" fillId="0" borderId="3" xfId="0" applyBorder="1" applyAlignment="1">
      <alignment vertical="center" wrapText="1"/>
    </xf>
    <xf numFmtId="0" fontId="0" fillId="0" borderId="15" xfId="0" applyBorder="1" applyAlignment="1">
      <alignment vertical="center" wrapText="1"/>
    </xf>
    <xf numFmtId="0" fontId="0" fillId="0" borderId="10" xfId="0" applyBorder="1" applyAlignment="1">
      <alignment vertical="center" wrapText="1"/>
    </xf>
    <xf numFmtId="0" fontId="0" fillId="2" borderId="0" xfId="0" applyFill="1" applyAlignment="1">
      <alignment horizontal="center" vertical="center" wrapText="1"/>
    </xf>
    <xf numFmtId="177" fontId="0" fillId="0" borderId="2" xfId="0" applyNumberFormat="1" applyBorder="1" applyAlignment="1">
      <alignment horizontal="right" vertical="center"/>
    </xf>
    <xf numFmtId="177" fontId="0" fillId="0" borderId="2" xfId="1" applyNumberFormat="1" applyFont="1" applyBorder="1" applyAlignment="1">
      <alignment horizontal="right" vertical="center"/>
    </xf>
    <xf numFmtId="177" fontId="0" fillId="2" borderId="2" xfId="0" applyNumberFormat="1" applyFill="1" applyBorder="1" applyAlignment="1">
      <alignment horizontal="right" vertical="center"/>
    </xf>
    <xf numFmtId="177" fontId="0" fillId="0" borderId="2" xfId="0" applyNumberFormat="1" applyBorder="1" applyAlignment="1">
      <alignment vertical="center"/>
    </xf>
    <xf numFmtId="171" fontId="0" fillId="0" borderId="2" xfId="1" applyNumberFormat="1" applyFont="1" applyBorder="1" applyAlignment="1">
      <alignment vertical="center"/>
    </xf>
    <xf numFmtId="171" fontId="0" fillId="2" borderId="2" xfId="1" applyNumberFormat="1" applyFont="1" applyFill="1" applyBorder="1" applyAlignment="1">
      <alignment vertical="center"/>
    </xf>
    <xf numFmtId="164" fontId="9" fillId="0" borderId="2" xfId="0" applyNumberFormat="1" applyFont="1" applyBorder="1" applyAlignment="1">
      <alignment vertical="center"/>
    </xf>
    <xf numFmtId="164" fontId="9" fillId="0" borderId="13" xfId="0" applyNumberFormat="1" applyFont="1" applyBorder="1" applyAlignment="1">
      <alignment vertical="center"/>
    </xf>
    <xf numFmtId="0" fontId="9" fillId="0" borderId="2" xfId="0" applyFont="1" applyBorder="1"/>
    <xf numFmtId="0" fontId="9" fillId="0" borderId="2" xfId="0" applyFont="1" applyBorder="1" applyAlignment="1">
      <alignment vertical="center"/>
    </xf>
    <xf numFmtId="0" fontId="0" fillId="0" borderId="4" xfId="0" applyBorder="1" applyAlignment="1">
      <alignment vertical="center"/>
    </xf>
    <xf numFmtId="164" fontId="10" fillId="0" borderId="9" xfId="0" applyNumberFormat="1" applyFont="1" applyBorder="1" applyAlignment="1">
      <alignment vertical="center"/>
    </xf>
    <xf numFmtId="0" fontId="0" fillId="2" borderId="2" xfId="1" quotePrefix="1" applyNumberFormat="1" applyFont="1" applyFill="1" applyBorder="1" applyAlignment="1">
      <alignment horizontal="left" vertical="center"/>
    </xf>
    <xf numFmtId="0" fontId="10" fillId="0" borderId="9" xfId="0" applyFont="1" applyBorder="1"/>
    <xf numFmtId="0" fontId="0" fillId="0" borderId="7" xfId="0" applyBorder="1"/>
    <xf numFmtId="0" fontId="9" fillId="0" borderId="7" xfId="0" applyFont="1" applyBorder="1"/>
    <xf numFmtId="0" fontId="4" fillId="0" borderId="13" xfId="0" applyFont="1" applyBorder="1" applyAlignment="1">
      <alignment vertical="center"/>
    </xf>
    <xf numFmtId="0" fontId="3" fillId="0" borderId="13" xfId="0" applyFont="1" applyBorder="1" applyAlignment="1">
      <alignment horizontal="center" vertical="center"/>
    </xf>
    <xf numFmtId="0" fontId="10" fillId="0" borderId="19" xfId="0" applyFont="1" applyBorder="1"/>
    <xf numFmtId="0" fontId="0" fillId="0" borderId="5" xfId="0" applyBorder="1" applyAlignment="1">
      <alignment horizontal="center" vertical="center" wrapText="1"/>
    </xf>
    <xf numFmtId="0" fontId="9" fillId="0" borderId="9" xfId="0" applyFont="1" applyBorder="1"/>
    <xf numFmtId="0" fontId="0" fillId="2" borderId="6" xfId="0" applyFill="1" applyBorder="1" applyAlignment="1">
      <alignment vertical="center"/>
    </xf>
    <xf numFmtId="0" fontId="7" fillId="2" borderId="2" xfId="0" applyFont="1" applyFill="1" applyBorder="1" applyAlignment="1">
      <alignment horizontal="center" vertical="center"/>
    </xf>
    <xf numFmtId="0" fontId="0" fillId="2" borderId="2" xfId="0" applyFill="1" applyBorder="1" applyAlignment="1">
      <alignment horizontal="center" vertical="center" wrapText="1"/>
    </xf>
    <xf numFmtId="168" fontId="0" fillId="2" borderId="3" xfId="1" applyNumberFormat="1" applyFont="1" applyFill="1" applyBorder="1" applyAlignment="1">
      <alignment vertical="center"/>
    </xf>
    <xf numFmtId="0" fontId="0" fillId="2" borderId="15" xfId="0" applyFill="1" applyBorder="1" applyAlignment="1">
      <alignment vertical="center"/>
    </xf>
    <xf numFmtId="0" fontId="0" fillId="2" borderId="20" xfId="0" applyFill="1" applyBorder="1" applyAlignment="1">
      <alignment vertical="center"/>
    </xf>
    <xf numFmtId="168" fontId="0" fillId="2" borderId="15" xfId="1" applyNumberFormat="1" applyFont="1" applyFill="1" applyBorder="1" applyAlignment="1">
      <alignment vertical="center"/>
    </xf>
    <xf numFmtId="168" fontId="0" fillId="2" borderId="17" xfId="0" applyNumberFormat="1" applyFill="1" applyBorder="1" applyAlignment="1">
      <alignment vertical="center"/>
    </xf>
    <xf numFmtId="0" fontId="3" fillId="0" borderId="53" xfId="0" applyFont="1" applyBorder="1" applyAlignment="1">
      <alignment vertical="center"/>
    </xf>
    <xf numFmtId="0" fontId="3" fillId="0" borderId="55" xfId="0" applyFont="1" applyBorder="1" applyAlignment="1">
      <alignment vertical="center"/>
    </xf>
    <xf numFmtId="168" fontId="3" fillId="0" borderId="53" xfId="0" applyNumberFormat="1" applyFont="1" applyBorder="1" applyAlignment="1">
      <alignment vertical="center"/>
    </xf>
    <xf numFmtId="168" fontId="3" fillId="0" borderId="24" xfId="0" applyNumberFormat="1" applyFont="1" applyBorder="1" applyAlignment="1">
      <alignment vertical="center"/>
    </xf>
    <xf numFmtId="168" fontId="0" fillId="0" borderId="5" xfId="0" applyNumberFormat="1" applyBorder="1" applyAlignment="1">
      <alignment vertical="center"/>
    </xf>
    <xf numFmtId="168" fontId="0" fillId="2" borderId="5" xfId="0" applyNumberFormat="1" applyFill="1" applyBorder="1" applyAlignment="1">
      <alignment vertical="center"/>
    </xf>
    <xf numFmtId="168" fontId="0" fillId="2" borderId="20" xfId="0" applyNumberFormat="1" applyFill="1" applyBorder="1" applyAlignment="1">
      <alignment vertical="center"/>
    </xf>
    <xf numFmtId="168" fontId="3" fillId="0" borderId="55" xfId="0" applyNumberFormat="1" applyFont="1" applyBorder="1" applyAlignment="1">
      <alignment vertical="center"/>
    </xf>
    <xf numFmtId="168" fontId="3" fillId="0" borderId="12" xfId="0" applyNumberFormat="1" applyFont="1" applyBorder="1" applyAlignment="1">
      <alignment vertical="center"/>
    </xf>
    <xf numFmtId="168" fontId="0" fillId="2" borderId="22" xfId="1" applyNumberFormat="1" applyFont="1" applyFill="1" applyBorder="1" applyAlignment="1">
      <alignment vertical="center"/>
    </xf>
    <xf numFmtId="168" fontId="0" fillId="2" borderId="61" xfId="1" applyNumberFormat="1" applyFont="1" applyFill="1" applyBorder="1" applyAlignment="1">
      <alignment vertical="center"/>
    </xf>
    <xf numFmtId="168" fontId="3" fillId="0" borderId="54" xfId="0" applyNumberFormat="1" applyFont="1" applyBorder="1" applyAlignment="1">
      <alignment vertical="center"/>
    </xf>
    <xf numFmtId="164" fontId="0" fillId="2" borderId="7" xfId="0" applyNumberFormat="1" applyFill="1" applyBorder="1" applyAlignment="1">
      <alignment horizontal="right" vertical="center"/>
    </xf>
    <xf numFmtId="164" fontId="0" fillId="2" borderId="0" xfId="0" applyNumberFormat="1" applyFill="1" applyAlignment="1">
      <alignment horizontal="right" vertical="center"/>
    </xf>
    <xf numFmtId="0" fontId="9" fillId="0" borderId="13" xfId="0" applyFont="1" applyBorder="1"/>
    <xf numFmtId="0" fontId="9" fillId="0" borderId="0" xfId="0" applyFont="1"/>
    <xf numFmtId="164" fontId="10" fillId="0" borderId="0" xfId="0" applyNumberFormat="1" applyFont="1" applyAlignment="1">
      <alignment vertical="center"/>
    </xf>
    <xf numFmtId="0" fontId="9" fillId="0" borderId="0" xfId="0" applyFont="1" applyAlignment="1">
      <alignment vertical="center"/>
    </xf>
    <xf numFmtId="171" fontId="16" fillId="0" borderId="2" xfId="1" applyNumberFormat="1" applyFont="1" applyBorder="1" applyAlignment="1">
      <alignment vertical="center"/>
    </xf>
    <xf numFmtId="0" fontId="11" fillId="0" borderId="3" xfId="0" applyFont="1" applyBorder="1"/>
    <xf numFmtId="0" fontId="11" fillId="0" borderId="4" xfId="0" applyFont="1" applyBorder="1"/>
    <xf numFmtId="177" fontId="4" fillId="2" borderId="14" xfId="0" applyNumberFormat="1" applyFont="1" applyFill="1" applyBorder="1" applyAlignment="1">
      <alignment horizontal="left" vertical="center"/>
    </xf>
    <xf numFmtId="177" fontId="4" fillId="2" borderId="6" xfId="0" applyNumberFormat="1" applyFont="1" applyFill="1" applyBorder="1" applyAlignment="1">
      <alignment horizontal="left" vertical="center"/>
    </xf>
    <xf numFmtId="164" fontId="3" fillId="2" borderId="0" xfId="1" applyNumberFormat="1" applyFont="1" applyFill="1" applyAlignment="1">
      <alignment horizontal="right" vertical="center"/>
    </xf>
    <xf numFmtId="164" fontId="3" fillId="2" borderId="0" xfId="0" applyNumberFormat="1" applyFont="1" applyFill="1" applyAlignment="1">
      <alignment horizontal="right" vertical="center"/>
    </xf>
    <xf numFmtId="0" fontId="3" fillId="2" borderId="8" xfId="1" applyNumberFormat="1" applyFont="1" applyFill="1" applyBorder="1" applyAlignment="1">
      <alignment horizontal="left" vertical="center"/>
    </xf>
    <xf numFmtId="164" fontId="0" fillId="2" borderId="4" xfId="1" applyNumberFormat="1" applyFont="1" applyFill="1" applyBorder="1" applyAlignment="1">
      <alignment horizontal="right" vertical="center"/>
    </xf>
    <xf numFmtId="164" fontId="3" fillId="2" borderId="4" xfId="1" applyNumberFormat="1" applyFont="1" applyFill="1" applyBorder="1" applyAlignment="1">
      <alignment horizontal="right" vertical="center"/>
    </xf>
    <xf numFmtId="0" fontId="0" fillId="2" borderId="5" xfId="1" applyNumberFormat="1" applyFont="1" applyFill="1" applyBorder="1" applyAlignment="1">
      <alignment horizontal="left" vertical="center"/>
    </xf>
    <xf numFmtId="164" fontId="3" fillId="2" borderId="1" xfId="1" applyNumberFormat="1" applyFont="1" applyFill="1" applyBorder="1" applyAlignment="1">
      <alignment horizontal="right" vertical="center"/>
    </xf>
    <xf numFmtId="0" fontId="3" fillId="2" borderId="21" xfId="1" applyNumberFormat="1" applyFont="1" applyFill="1" applyBorder="1" applyAlignment="1">
      <alignment horizontal="left" vertical="center"/>
    </xf>
    <xf numFmtId="0" fontId="3" fillId="2" borderId="2" xfId="1" applyNumberFormat="1" applyFont="1" applyFill="1" applyBorder="1" applyAlignment="1">
      <alignment horizontal="center" vertical="center" wrapText="1"/>
    </xf>
    <xf numFmtId="0" fontId="0" fillId="2" borderId="6" xfId="0" applyFill="1" applyBorder="1" applyAlignment="1">
      <alignment horizontal="center" vertical="center"/>
    </xf>
    <xf numFmtId="164" fontId="3" fillId="2" borderId="66" xfId="1" applyNumberFormat="1" applyFont="1" applyFill="1" applyBorder="1" applyAlignment="1">
      <alignment horizontal="right" vertical="center"/>
    </xf>
    <xf numFmtId="164" fontId="3" fillId="2" borderId="66" xfId="0" applyNumberFormat="1" applyFont="1" applyFill="1" applyBorder="1" applyAlignment="1">
      <alignment horizontal="right" vertical="center"/>
    </xf>
    <xf numFmtId="164" fontId="0" fillId="2" borderId="66" xfId="0" applyNumberFormat="1" applyFill="1" applyBorder="1" applyAlignment="1">
      <alignment horizontal="right" vertical="center"/>
    </xf>
    <xf numFmtId="0" fontId="0" fillId="2" borderId="23" xfId="0" applyFill="1" applyBorder="1" applyAlignment="1">
      <alignment vertical="center"/>
    </xf>
    <xf numFmtId="0" fontId="3" fillId="2" borderId="20" xfId="0" applyFont="1" applyFill="1" applyBorder="1" applyAlignment="1">
      <alignment horizontal="center" vertical="center"/>
    </xf>
    <xf numFmtId="164" fontId="0" fillId="2" borderId="5" xfId="0" applyNumberFormat="1" applyFill="1" applyBorder="1" applyAlignment="1">
      <alignment horizontal="center" vertical="center"/>
    </xf>
    <xf numFmtId="164" fontId="3" fillId="2" borderId="70" xfId="1" applyNumberFormat="1" applyFont="1" applyFill="1" applyBorder="1" applyAlignment="1">
      <alignment horizontal="right" vertical="center"/>
    </xf>
    <xf numFmtId="164" fontId="0" fillId="2" borderId="42" xfId="1" applyNumberFormat="1" applyFont="1" applyFill="1" applyBorder="1" applyAlignment="1">
      <alignment horizontal="right" vertical="center"/>
    </xf>
    <xf numFmtId="164" fontId="0" fillId="2" borderId="43" xfId="1" applyNumberFormat="1" applyFont="1" applyFill="1" applyBorder="1" applyAlignment="1">
      <alignment horizontal="right" vertical="center"/>
    </xf>
    <xf numFmtId="164" fontId="3" fillId="2" borderId="71" xfId="1" applyNumberFormat="1" applyFont="1" applyFill="1" applyBorder="1" applyAlignment="1">
      <alignment horizontal="right" vertical="center"/>
    </xf>
    <xf numFmtId="164" fontId="3" fillId="2" borderId="72" xfId="1" applyNumberFormat="1" applyFont="1" applyFill="1" applyBorder="1" applyAlignment="1">
      <alignment horizontal="right" vertical="center"/>
    </xf>
    <xf numFmtId="164" fontId="0" fillId="2" borderId="70" xfId="0" applyNumberFormat="1" applyFill="1" applyBorder="1" applyAlignment="1">
      <alignment horizontal="right" vertical="center"/>
    </xf>
    <xf numFmtId="164" fontId="3" fillId="2" borderId="15" xfId="1" applyNumberFormat="1" applyFont="1" applyFill="1" applyBorder="1" applyAlignment="1">
      <alignment horizontal="right" vertical="center"/>
    </xf>
    <xf numFmtId="164" fontId="2" fillId="2" borderId="2" xfId="1" applyNumberFormat="1" applyFill="1" applyBorder="1" applyAlignment="1">
      <alignment horizontal="right" vertical="center"/>
    </xf>
    <xf numFmtId="164" fontId="3" fillId="2" borderId="2" xfId="1" applyNumberFormat="1" applyFont="1" applyFill="1" applyBorder="1" applyAlignment="1">
      <alignment horizontal="right" vertical="center"/>
    </xf>
    <xf numFmtId="164" fontId="3" fillId="2" borderId="9" xfId="1" applyNumberFormat="1" applyFont="1" applyFill="1" applyBorder="1" applyAlignment="1">
      <alignment horizontal="right" vertical="center"/>
    </xf>
    <xf numFmtId="0" fontId="0" fillId="2" borderId="4" xfId="0" applyFill="1" applyBorder="1" applyAlignment="1">
      <alignment vertical="center"/>
    </xf>
    <xf numFmtId="0" fontId="0" fillId="2" borderId="11" xfId="0" applyFill="1" applyBorder="1" applyAlignment="1">
      <alignment vertical="center"/>
    </xf>
    <xf numFmtId="164" fontId="3" fillId="2" borderId="5" xfId="1" applyNumberFormat="1" applyFont="1" applyFill="1" applyBorder="1" applyAlignment="1">
      <alignment horizontal="right" vertical="center"/>
    </xf>
    <xf numFmtId="177" fontId="4" fillId="2" borderId="0" xfId="0" applyNumberFormat="1" applyFont="1" applyFill="1" applyAlignment="1">
      <alignment horizontal="left" vertical="center"/>
    </xf>
    <xf numFmtId="177" fontId="4" fillId="2" borderId="1" xfId="0" applyNumberFormat="1" applyFont="1" applyFill="1" applyBorder="1" applyAlignment="1">
      <alignment horizontal="left" vertical="center"/>
    </xf>
    <xf numFmtId="177" fontId="4" fillId="2" borderId="15" xfId="0" applyNumberFormat="1" applyFont="1" applyFill="1" applyBorder="1" applyAlignment="1">
      <alignment horizontal="left" vertical="center"/>
    </xf>
    <xf numFmtId="0" fontId="4" fillId="2" borderId="0" xfId="0" applyFont="1" applyFill="1" applyAlignment="1">
      <alignment vertical="center"/>
    </xf>
    <xf numFmtId="164" fontId="2" fillId="2" borderId="5" xfId="1" applyNumberFormat="1" applyFill="1" applyBorder="1" applyAlignment="1">
      <alignment horizontal="right" vertical="center"/>
    </xf>
    <xf numFmtId="164" fontId="2" fillId="2" borderId="12" xfId="1" applyNumberFormat="1" applyFill="1" applyBorder="1" applyAlignment="1">
      <alignment horizontal="right" vertical="center"/>
    </xf>
    <xf numFmtId="177" fontId="22" fillId="2" borderId="3" xfId="0" applyNumberFormat="1" applyFont="1" applyFill="1" applyBorder="1" applyAlignment="1">
      <alignment horizontal="left" vertical="center"/>
    </xf>
    <xf numFmtId="177" fontId="22" fillId="2" borderId="5" xfId="0" applyNumberFormat="1" applyFont="1" applyFill="1" applyBorder="1" applyAlignment="1">
      <alignment horizontal="left" vertical="center"/>
    </xf>
    <xf numFmtId="164" fontId="0" fillId="2" borderId="6" xfId="0" applyNumberFormat="1" applyFill="1" applyBorder="1" applyAlignment="1">
      <alignment horizontal="right" vertical="center"/>
    </xf>
    <xf numFmtId="164" fontId="0" fillId="2" borderId="65" xfId="0" applyNumberFormat="1" applyFill="1" applyBorder="1" applyAlignment="1">
      <alignment horizontal="right" vertical="center"/>
    </xf>
    <xf numFmtId="164" fontId="0" fillId="2" borderId="67" xfId="1" applyNumberFormat="1" applyFont="1" applyFill="1" applyBorder="1" applyAlignment="1">
      <alignment horizontal="right" vertical="center"/>
    </xf>
    <xf numFmtId="164" fontId="0" fillId="2" borderId="21" xfId="1" applyNumberFormat="1" applyFont="1" applyFill="1" applyBorder="1" applyAlignment="1">
      <alignment horizontal="right" vertical="center"/>
    </xf>
    <xf numFmtId="177" fontId="22" fillId="2" borderId="15" xfId="0" applyNumberFormat="1" applyFont="1" applyFill="1" applyBorder="1" applyAlignment="1">
      <alignment horizontal="left" vertical="center"/>
    </xf>
    <xf numFmtId="177" fontId="22" fillId="2" borderId="20" xfId="0" applyNumberFormat="1" applyFont="1" applyFill="1" applyBorder="1" applyAlignment="1">
      <alignment horizontal="left" vertical="center"/>
    </xf>
    <xf numFmtId="164" fontId="0" fillId="2" borderId="52" xfId="1" applyNumberFormat="1" applyFont="1" applyFill="1" applyBorder="1" applyAlignment="1">
      <alignment vertical="center"/>
    </xf>
    <xf numFmtId="0" fontId="0" fillId="2" borderId="17" xfId="1" quotePrefix="1" applyNumberFormat="1" applyFont="1" applyFill="1" applyBorder="1" applyAlignment="1">
      <alignment horizontal="left" vertical="center" wrapText="1"/>
    </xf>
    <xf numFmtId="177" fontId="22" fillId="2" borderId="14" xfId="0" applyNumberFormat="1" applyFont="1" applyFill="1" applyBorder="1" applyAlignment="1">
      <alignment horizontal="left" vertical="center"/>
    </xf>
    <xf numFmtId="177" fontId="22" fillId="2" borderId="21" xfId="0" applyNumberFormat="1" applyFont="1" applyFill="1" applyBorder="1" applyAlignment="1">
      <alignment horizontal="left" vertical="center"/>
    </xf>
    <xf numFmtId="164" fontId="0" fillId="2" borderId="67" xfId="1" applyNumberFormat="1" applyFont="1" applyFill="1" applyBorder="1" applyAlignment="1">
      <alignment vertical="center"/>
    </xf>
    <xf numFmtId="0" fontId="0" fillId="2" borderId="7" xfId="1" quotePrefix="1" applyNumberFormat="1" applyFont="1" applyFill="1" applyBorder="1" applyAlignment="1">
      <alignment horizontal="left" vertical="center"/>
    </xf>
    <xf numFmtId="177" fontId="0" fillId="2" borderId="3" xfId="0" applyNumberFormat="1" applyFill="1" applyBorder="1" applyAlignment="1">
      <alignment horizontal="left" vertical="center"/>
    </xf>
    <xf numFmtId="177" fontId="0" fillId="2" borderId="5" xfId="0" applyNumberFormat="1" applyFill="1" applyBorder="1" applyAlignment="1">
      <alignment horizontal="left" vertical="center"/>
    </xf>
    <xf numFmtId="164" fontId="0" fillId="2" borderId="23" xfId="1" applyNumberFormat="1" applyFont="1" applyFill="1" applyBorder="1" applyAlignment="1">
      <alignment horizontal="right" vertical="center"/>
    </xf>
    <xf numFmtId="164" fontId="0" fillId="2" borderId="14" xfId="1" applyNumberFormat="1" applyFont="1" applyFill="1" applyBorder="1" applyAlignment="1">
      <alignment horizontal="right" vertical="center"/>
    </xf>
    <xf numFmtId="164" fontId="0" fillId="2" borderId="65" xfId="1" applyNumberFormat="1" applyFont="1" applyFill="1" applyBorder="1" applyAlignment="1">
      <alignment horizontal="right" vertical="center"/>
    </xf>
    <xf numFmtId="164" fontId="0" fillId="2" borderId="68" xfId="1" applyNumberFormat="1" applyFont="1" applyFill="1" applyBorder="1" applyAlignment="1">
      <alignment horizontal="right" vertical="center"/>
    </xf>
    <xf numFmtId="177" fontId="4" fillId="2" borderId="3" xfId="0" applyNumberFormat="1" applyFont="1" applyFill="1" applyBorder="1" applyAlignment="1">
      <alignment horizontal="left" vertical="center"/>
    </xf>
    <xf numFmtId="177" fontId="4" fillId="2" borderId="5" xfId="0" applyNumberFormat="1" applyFont="1" applyFill="1" applyBorder="1" applyAlignment="1">
      <alignment horizontal="left" vertical="center"/>
    </xf>
    <xf numFmtId="164" fontId="3" fillId="2" borderId="3" xfId="1" applyNumberFormat="1" applyFont="1" applyFill="1" applyBorder="1" applyAlignment="1">
      <alignment horizontal="right" vertical="center"/>
    </xf>
    <xf numFmtId="164" fontId="3" fillId="2" borderId="23" xfId="1" applyNumberFormat="1" applyFont="1" applyFill="1" applyBorder="1" applyAlignment="1">
      <alignment horizontal="right" vertical="center"/>
    </xf>
    <xf numFmtId="164" fontId="3" fillId="2" borderId="44" xfId="1" applyNumberFormat="1" applyFont="1" applyFill="1" applyBorder="1" applyAlignment="1">
      <alignment horizontal="right" vertical="center"/>
    </xf>
    <xf numFmtId="164" fontId="0" fillId="2" borderId="23" xfId="0" applyNumberFormat="1" applyFill="1" applyBorder="1" applyAlignment="1">
      <alignment horizontal="right" vertical="center"/>
    </xf>
    <xf numFmtId="164" fontId="0" fillId="2" borderId="6" xfId="1" applyNumberFormat="1" applyFont="1" applyFill="1" applyBorder="1" applyAlignment="1">
      <alignment horizontal="right" vertical="center"/>
    </xf>
    <xf numFmtId="164" fontId="0" fillId="2" borderId="73" xfId="1" applyNumberFormat="1" applyFont="1" applyFill="1" applyBorder="1" applyAlignment="1">
      <alignment horizontal="right" vertical="center"/>
    </xf>
    <xf numFmtId="164" fontId="0" fillId="2" borderId="8" xfId="1" applyNumberFormat="1" applyFont="1" applyFill="1" applyBorder="1" applyAlignment="1">
      <alignment horizontal="right" vertical="center"/>
    </xf>
    <xf numFmtId="164" fontId="0" fillId="2" borderId="52" xfId="1" applyNumberFormat="1" applyFont="1" applyFill="1" applyBorder="1" applyAlignment="1">
      <alignment horizontal="right" vertical="center"/>
    </xf>
    <xf numFmtId="164" fontId="0" fillId="2" borderId="20" xfId="1" applyNumberFormat="1" applyFont="1" applyFill="1" applyBorder="1" applyAlignment="1">
      <alignment horizontal="right" vertical="center"/>
    </xf>
    <xf numFmtId="0" fontId="0" fillId="2" borderId="17" xfId="1" quotePrefix="1" applyNumberFormat="1" applyFont="1" applyFill="1" applyBorder="1" applyAlignment="1">
      <alignment horizontal="left" vertical="center"/>
    </xf>
    <xf numFmtId="177" fontId="4" fillId="2" borderId="67" xfId="0" applyNumberFormat="1" applyFont="1" applyFill="1" applyBorder="1" applyAlignment="1">
      <alignment horizontal="left" vertical="center"/>
    </xf>
    <xf numFmtId="164" fontId="3" fillId="2" borderId="21" xfId="1" applyNumberFormat="1" applyFont="1" applyFill="1" applyBorder="1" applyAlignment="1">
      <alignment horizontal="right" vertical="center"/>
    </xf>
    <xf numFmtId="0" fontId="0" fillId="2" borderId="13" xfId="1" applyNumberFormat="1" applyFont="1" applyFill="1" applyBorder="1" applyAlignment="1">
      <alignment horizontal="left" vertical="center"/>
    </xf>
    <xf numFmtId="177" fontId="4" fillId="2" borderId="3" xfId="0" applyNumberFormat="1" applyFont="1" applyFill="1" applyBorder="1" applyAlignment="1">
      <alignment vertical="center"/>
    </xf>
    <xf numFmtId="177" fontId="4" fillId="2" borderId="5" xfId="0" applyNumberFormat="1" applyFont="1" applyFill="1" applyBorder="1" applyAlignment="1">
      <alignment vertical="center"/>
    </xf>
    <xf numFmtId="177" fontId="4" fillId="2" borderId="23" xfId="0" applyNumberFormat="1" applyFont="1" applyFill="1" applyBorder="1" applyAlignment="1">
      <alignment vertical="center"/>
    </xf>
    <xf numFmtId="0" fontId="3" fillId="2" borderId="3" xfId="0" applyFont="1" applyFill="1" applyBorder="1" applyAlignment="1">
      <alignment vertical="center"/>
    </xf>
    <xf numFmtId="0" fontId="3" fillId="2" borderId="10" xfId="0" applyFont="1" applyFill="1" applyBorder="1" applyAlignment="1">
      <alignment vertical="center"/>
    </xf>
    <xf numFmtId="164" fontId="3" fillId="2" borderId="0" xfId="0" applyNumberFormat="1" applyFont="1" applyFill="1"/>
    <xf numFmtId="164" fontId="3" fillId="2" borderId="11" xfId="0" applyNumberFormat="1" applyFont="1" applyFill="1" applyBorder="1"/>
    <xf numFmtId="177" fontId="4" fillId="8" borderId="3" xfId="0" applyNumberFormat="1" applyFont="1" applyFill="1" applyBorder="1" applyAlignment="1">
      <alignment horizontal="left" vertical="center"/>
    </xf>
    <xf numFmtId="177" fontId="4" fillId="8" borderId="5" xfId="0" applyNumberFormat="1" applyFont="1" applyFill="1" applyBorder="1" applyAlignment="1">
      <alignment horizontal="left" vertical="center"/>
    </xf>
    <xf numFmtId="177" fontId="4" fillId="8" borderId="23" xfId="0" applyNumberFormat="1" applyFont="1" applyFill="1" applyBorder="1" applyAlignment="1">
      <alignment horizontal="left" vertical="center"/>
    </xf>
    <xf numFmtId="164" fontId="3" fillId="8" borderId="3" xfId="1" applyNumberFormat="1" applyFont="1" applyFill="1" applyBorder="1" applyAlignment="1">
      <alignment horizontal="right" vertical="center"/>
    </xf>
    <xf numFmtId="164" fontId="3" fillId="8" borderId="23" xfId="1" applyNumberFormat="1" applyFont="1" applyFill="1" applyBorder="1" applyAlignment="1">
      <alignment horizontal="right" vertical="center"/>
    </xf>
    <xf numFmtId="164" fontId="3" fillId="8" borderId="44" xfId="1" applyNumberFormat="1" applyFont="1" applyFill="1" applyBorder="1" applyAlignment="1">
      <alignment horizontal="right" vertical="center"/>
    </xf>
    <xf numFmtId="164" fontId="3" fillId="8" borderId="5" xfId="1" applyNumberFormat="1" applyFont="1" applyFill="1" applyBorder="1" applyAlignment="1">
      <alignment horizontal="right" vertical="center"/>
    </xf>
    <xf numFmtId="164" fontId="3" fillId="8" borderId="6" xfId="1" applyNumberFormat="1" applyFont="1" applyFill="1" applyBorder="1" applyAlignment="1">
      <alignment horizontal="right" vertical="center"/>
    </xf>
    <xf numFmtId="0" fontId="3" fillId="8" borderId="2" xfId="1" applyNumberFormat="1" applyFont="1" applyFill="1" applyBorder="1" applyAlignment="1">
      <alignment horizontal="left" vertical="center"/>
    </xf>
    <xf numFmtId="0" fontId="0" fillId="8" borderId="0" xfId="0" applyFill="1" applyAlignment="1">
      <alignment vertical="center"/>
    </xf>
    <xf numFmtId="164" fontId="0" fillId="8" borderId="0" xfId="0" applyNumberFormat="1" applyFill="1" applyAlignment="1">
      <alignment vertical="center"/>
    </xf>
    <xf numFmtId="164" fontId="3" fillId="8" borderId="6" xfId="0" applyNumberFormat="1" applyFont="1" applyFill="1" applyBorder="1" applyAlignment="1">
      <alignment horizontal="right" vertical="center"/>
    </xf>
    <xf numFmtId="177" fontId="6" fillId="8" borderId="3" xfId="0" applyNumberFormat="1" applyFont="1" applyFill="1" applyBorder="1" applyAlignment="1">
      <alignment horizontal="left" vertical="center"/>
    </xf>
    <xf numFmtId="177" fontId="6" fillId="8" borderId="5" xfId="0" applyNumberFormat="1" applyFont="1" applyFill="1" applyBorder="1" applyAlignment="1">
      <alignment horizontal="left" vertical="center"/>
    </xf>
    <xf numFmtId="177" fontId="6" fillId="8" borderId="14" xfId="0" applyNumberFormat="1" applyFont="1" applyFill="1" applyBorder="1" applyAlignment="1">
      <alignment horizontal="left" vertical="center"/>
    </xf>
    <xf numFmtId="177" fontId="6" fillId="8" borderId="23" xfId="0" applyNumberFormat="1" applyFont="1" applyFill="1" applyBorder="1" applyAlignment="1">
      <alignment horizontal="left" vertical="center"/>
    </xf>
    <xf numFmtId="164" fontId="13" fillId="8" borderId="14" xfId="1" applyNumberFormat="1" applyFont="1" applyFill="1" applyBorder="1" applyAlignment="1">
      <alignment horizontal="right" vertical="center"/>
    </xf>
    <xf numFmtId="164" fontId="13" fillId="8" borderId="67" xfId="1" applyNumberFormat="1" applyFont="1" applyFill="1" applyBorder="1" applyAlignment="1">
      <alignment horizontal="right" vertical="center"/>
    </xf>
    <xf numFmtId="164" fontId="13" fillId="8" borderId="68" xfId="1" applyNumberFormat="1" applyFont="1" applyFill="1" applyBorder="1" applyAlignment="1">
      <alignment horizontal="right" vertical="center"/>
    </xf>
    <xf numFmtId="164" fontId="13" fillId="8" borderId="21" xfId="1" applyNumberFormat="1" applyFont="1" applyFill="1" applyBorder="1" applyAlignment="1">
      <alignment horizontal="right" vertical="center"/>
    </xf>
    <xf numFmtId="164" fontId="13" fillId="8" borderId="6" xfId="1" applyNumberFormat="1" applyFont="1" applyFill="1" applyBorder="1" applyAlignment="1">
      <alignment horizontal="right" vertical="center"/>
    </xf>
    <xf numFmtId="0" fontId="13" fillId="8" borderId="13" xfId="1" applyNumberFormat="1" applyFont="1" applyFill="1" applyBorder="1" applyAlignment="1">
      <alignment horizontal="left" vertical="center"/>
    </xf>
    <xf numFmtId="177" fontId="13" fillId="8" borderId="10" xfId="0" applyNumberFormat="1" applyFont="1" applyFill="1" applyBorder="1" applyAlignment="1">
      <alignment vertical="center"/>
    </xf>
    <xf numFmtId="177" fontId="13" fillId="8" borderId="12" xfId="0" applyNumberFormat="1" applyFont="1" applyFill="1" applyBorder="1" applyAlignment="1">
      <alignment vertical="center"/>
    </xf>
    <xf numFmtId="164" fontId="13" fillId="8" borderId="45" xfId="0" applyNumberFormat="1" applyFont="1" applyFill="1" applyBorder="1" applyAlignment="1">
      <alignment horizontal="right" vertical="center"/>
    </xf>
    <xf numFmtId="164" fontId="13" fillId="8" borderId="10" xfId="0" applyNumberFormat="1" applyFont="1" applyFill="1" applyBorder="1" applyAlignment="1">
      <alignment horizontal="right" vertical="center"/>
    </xf>
    <xf numFmtId="164" fontId="13" fillId="8" borderId="46" xfId="0" applyNumberFormat="1" applyFont="1" applyFill="1" applyBorder="1" applyAlignment="1">
      <alignment horizontal="right" vertical="center"/>
    </xf>
    <xf numFmtId="164" fontId="13" fillId="8" borderId="12" xfId="0" applyNumberFormat="1" applyFont="1" applyFill="1" applyBorder="1" applyAlignment="1">
      <alignment horizontal="center" vertical="center"/>
    </xf>
    <xf numFmtId="164" fontId="23" fillId="8" borderId="0" xfId="0" applyNumberFormat="1" applyFont="1" applyFill="1" applyAlignment="1">
      <alignment horizontal="right" vertical="center"/>
    </xf>
    <xf numFmtId="0" fontId="23" fillId="8" borderId="9" xfId="0" applyFont="1" applyFill="1" applyBorder="1" applyAlignment="1">
      <alignment horizontal="left" vertical="center"/>
    </xf>
    <xf numFmtId="171" fontId="3" fillId="8" borderId="2" xfId="1" quotePrefix="1" applyNumberFormat="1" applyFont="1" applyFill="1" applyBorder="1" applyAlignment="1">
      <alignment vertical="center"/>
    </xf>
    <xf numFmtId="164" fontId="0" fillId="2" borderId="15" xfId="0" applyNumberFormat="1" applyFill="1" applyBorder="1" applyAlignment="1">
      <alignment horizontal="right" vertical="center"/>
    </xf>
    <xf numFmtId="164" fontId="0" fillId="2" borderId="52" xfId="0" applyNumberFormat="1" applyFill="1" applyBorder="1" applyAlignment="1">
      <alignment horizontal="right" vertical="center"/>
    </xf>
    <xf numFmtId="177" fontId="22" fillId="2" borderId="6" xfId="0" applyNumberFormat="1" applyFont="1" applyFill="1" applyBorder="1" applyAlignment="1">
      <alignment horizontal="left" vertical="center"/>
    </xf>
    <xf numFmtId="177" fontId="22" fillId="2" borderId="8" xfId="0" applyNumberFormat="1" applyFont="1" applyFill="1" applyBorder="1" applyAlignment="1">
      <alignment horizontal="left" vertical="center"/>
    </xf>
    <xf numFmtId="0" fontId="0" fillId="2" borderId="0" xfId="0" applyFill="1" applyAlignment="1">
      <alignment horizontal="center" vertical="center"/>
    </xf>
    <xf numFmtId="164" fontId="0" fillId="2" borderId="14" xfId="0" applyNumberFormat="1" applyFill="1" applyBorder="1" applyAlignment="1">
      <alignment horizontal="right" vertical="center"/>
    </xf>
    <xf numFmtId="164" fontId="0" fillId="2" borderId="67" xfId="0" applyNumberFormat="1" applyFill="1" applyBorder="1" applyAlignment="1">
      <alignment horizontal="right" vertical="center"/>
    </xf>
    <xf numFmtId="0" fontId="4" fillId="2" borderId="3" xfId="0" applyFont="1" applyFill="1" applyBorder="1" applyAlignment="1">
      <alignment horizontal="right" vertical="center"/>
    </xf>
    <xf numFmtId="0" fontId="4" fillId="2" borderId="23" xfId="0" applyFont="1" applyFill="1" applyBorder="1" applyAlignment="1">
      <alignment horizontal="right" vertical="center"/>
    </xf>
    <xf numFmtId="0" fontId="4" fillId="2" borderId="44" xfId="0" applyFont="1" applyFill="1" applyBorder="1" applyAlignment="1">
      <alignment horizontal="right" vertical="center"/>
    </xf>
    <xf numFmtId="164" fontId="11" fillId="0" borderId="5" xfId="0" applyNumberFormat="1" applyFont="1" applyBorder="1"/>
    <xf numFmtId="164" fontId="3" fillId="2" borderId="13" xfId="1" applyNumberFormat="1" applyFont="1" applyFill="1" applyBorder="1" applyAlignment="1">
      <alignment horizontal="right" vertical="center"/>
    </xf>
    <xf numFmtId="0" fontId="0" fillId="2" borderId="1" xfId="0" applyFill="1" applyBorder="1" applyAlignment="1">
      <alignment vertical="center"/>
    </xf>
    <xf numFmtId="171" fontId="3" fillId="2" borderId="9" xfId="1" applyNumberFormat="1" applyFont="1" applyFill="1" applyBorder="1" applyAlignment="1">
      <alignment vertical="center"/>
    </xf>
    <xf numFmtId="0" fontId="3" fillId="2" borderId="9" xfId="0" applyFont="1" applyFill="1" applyBorder="1" applyAlignment="1">
      <alignment horizontal="center" vertical="center"/>
    </xf>
    <xf numFmtId="0" fontId="3" fillId="2" borderId="9" xfId="0" applyFont="1" applyFill="1" applyBorder="1" applyAlignment="1">
      <alignment vertical="center"/>
    </xf>
    <xf numFmtId="0" fontId="0" fillId="0" borderId="9" xfId="0" applyBorder="1"/>
    <xf numFmtId="0" fontId="14" fillId="0" borderId="2" xfId="0" applyFont="1" applyBorder="1" applyAlignment="1">
      <alignment horizontal="center" vertical="center"/>
    </xf>
    <xf numFmtId="0" fontId="0" fillId="0" borderId="2" xfId="0" applyBorder="1" applyAlignment="1">
      <alignment horizontal="right" vertical="center"/>
    </xf>
    <xf numFmtId="171" fontId="16" fillId="0" borderId="2" xfId="1" applyNumberFormat="1" applyFont="1" applyBorder="1" applyAlignment="1">
      <alignment horizontal="right" vertical="center"/>
    </xf>
    <xf numFmtId="164" fontId="0" fillId="0" borderId="13" xfId="0" applyNumberFormat="1" applyBorder="1" applyAlignment="1">
      <alignment vertical="center"/>
    </xf>
    <xf numFmtId="164" fontId="3" fillId="0" borderId="7" xfId="0" applyNumberFormat="1" applyFont="1" applyBorder="1" applyAlignment="1">
      <alignment vertical="center"/>
    </xf>
    <xf numFmtId="166" fontId="0" fillId="0" borderId="17" xfId="1" applyFont="1" applyBorder="1" applyAlignment="1">
      <alignment vertical="center"/>
    </xf>
    <xf numFmtId="165" fontId="0" fillId="0" borderId="2" xfId="1" applyNumberFormat="1" applyFont="1" applyBorder="1" applyAlignment="1">
      <alignment vertical="center" wrapText="1"/>
    </xf>
    <xf numFmtId="165" fontId="3" fillId="0" borderId="9" xfId="1" applyNumberFormat="1" applyFont="1" applyBorder="1" applyAlignment="1">
      <alignment vertical="center" wrapText="1"/>
    </xf>
    <xf numFmtId="0" fontId="3" fillId="2" borderId="2" xfId="1" applyNumberFormat="1" applyFont="1" applyFill="1" applyBorder="1" applyAlignment="1">
      <alignment horizontal="center" vertical="center"/>
    </xf>
    <xf numFmtId="0" fontId="9" fillId="0" borderId="2" xfId="0" applyFont="1" applyBorder="1" applyAlignment="1">
      <alignment vertical="center"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8" fontId="0" fillId="8" borderId="2" xfId="0" applyNumberFormat="1" applyFill="1" applyBorder="1" applyAlignment="1">
      <alignment vertical="center"/>
    </xf>
    <xf numFmtId="0" fontId="15" fillId="0" borderId="2" xfId="0" applyFont="1" applyBorder="1" applyAlignment="1">
      <alignment horizontal="center" vertical="center"/>
    </xf>
    <xf numFmtId="0" fontId="0" fillId="0" borderId="1" xfId="0" applyBorder="1" applyAlignment="1">
      <alignment vertical="center"/>
    </xf>
    <xf numFmtId="171" fontId="16" fillId="2" borderId="2" xfId="1" applyNumberFormat="1" applyFont="1" applyFill="1" applyBorder="1" applyAlignment="1">
      <alignment vertical="center"/>
    </xf>
    <xf numFmtId="171" fontId="16" fillId="2" borderId="2" xfId="1" applyNumberFormat="1" applyFont="1" applyFill="1" applyBorder="1" applyAlignment="1">
      <alignment horizontal="right" vertical="center"/>
    </xf>
    <xf numFmtId="2" fontId="0" fillId="2" borderId="2" xfId="3" applyNumberFormat="1" applyFont="1" applyFill="1" applyBorder="1" applyAlignment="1">
      <alignment horizontal="right" vertical="center"/>
    </xf>
    <xf numFmtId="171" fontId="4" fillId="2" borderId="9" xfId="1" applyNumberFormat="1" applyFont="1" applyFill="1" applyBorder="1" applyAlignment="1">
      <alignment horizontal="right" vertical="center"/>
    </xf>
    <xf numFmtId="2" fontId="3" fillId="2" borderId="9" xfId="3" applyNumberFormat="1" applyFont="1" applyFill="1" applyBorder="1" applyAlignment="1">
      <alignment horizontal="right" vertical="center"/>
    </xf>
    <xf numFmtId="2" fontId="0" fillId="2" borderId="2" xfId="3" applyNumberFormat="1" applyFont="1" applyFill="1" applyBorder="1" applyAlignment="1">
      <alignment horizontal="center" vertical="center"/>
    </xf>
    <xf numFmtId="2" fontId="0" fillId="2" borderId="17" xfId="3" applyNumberFormat="1" applyFont="1" applyFill="1" applyBorder="1" applyAlignment="1">
      <alignment horizontal="center" vertical="center"/>
    </xf>
    <xf numFmtId="0" fontId="7" fillId="2" borderId="2" xfId="0" applyFont="1" applyFill="1" applyBorder="1" applyAlignment="1">
      <alignment vertical="center"/>
    </xf>
    <xf numFmtId="164" fontId="0" fillId="2" borderId="2" xfId="1" applyNumberFormat="1" applyFont="1" applyFill="1" applyBorder="1" applyAlignment="1">
      <alignment horizontal="right" vertical="center"/>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9" xfId="0" applyFont="1" applyBorder="1" applyAlignment="1">
      <alignment horizontal="center" vertical="center" wrapText="1"/>
    </xf>
    <xf numFmtId="14" fontId="0" fillId="2" borderId="0" xfId="0" applyNumberFormat="1" applyFill="1" applyAlignment="1">
      <alignment vertical="center"/>
    </xf>
    <xf numFmtId="0" fontId="8" fillId="11" borderId="2" xfId="0" applyFont="1" applyFill="1" applyBorder="1" applyAlignment="1">
      <alignment horizontal="center" vertical="center"/>
    </xf>
    <xf numFmtId="166" fontId="8" fillId="11" borderId="2" xfId="1" applyFont="1" applyFill="1" applyBorder="1" applyAlignment="1">
      <alignment horizontal="center" vertical="center"/>
    </xf>
    <xf numFmtId="0" fontId="8" fillId="2" borderId="2" xfId="0" applyFont="1" applyFill="1" applyBorder="1" applyAlignment="1">
      <alignment horizontal="center" vertical="center"/>
    </xf>
    <xf numFmtId="0" fontId="8" fillId="11" borderId="2" xfId="0" applyFont="1" applyFill="1" applyBorder="1" applyAlignment="1">
      <alignment vertical="center"/>
    </xf>
    <xf numFmtId="14" fontId="7" fillId="5" borderId="2" xfId="0" applyNumberFormat="1" applyFont="1" applyFill="1" applyBorder="1" applyAlignment="1">
      <alignment vertical="center"/>
    </xf>
    <xf numFmtId="0" fontId="7" fillId="5" borderId="2" xfId="0" applyFont="1" applyFill="1" applyBorder="1" applyAlignment="1">
      <alignment vertical="center"/>
    </xf>
    <xf numFmtId="179" fontId="7" fillId="5" borderId="2" xfId="1" applyNumberFormat="1" applyFont="1" applyFill="1" applyBorder="1" applyAlignment="1">
      <alignment horizontal="right" vertical="center"/>
    </xf>
    <xf numFmtId="179" fontId="7" fillId="2" borderId="2" xfId="1" applyNumberFormat="1" applyFont="1" applyFill="1" applyBorder="1" applyAlignment="1">
      <alignment vertical="center"/>
    </xf>
    <xf numFmtId="179" fontId="7" fillId="2" borderId="2" xfId="0" applyNumberFormat="1" applyFont="1" applyFill="1" applyBorder="1" applyAlignment="1">
      <alignment vertical="center"/>
    </xf>
    <xf numFmtId="14" fontId="7" fillId="2" borderId="2" xfId="0" applyNumberFormat="1" applyFont="1" applyFill="1" applyBorder="1" applyAlignment="1">
      <alignment vertical="center"/>
    </xf>
    <xf numFmtId="179" fontId="7" fillId="2" borderId="2" xfId="1" applyNumberFormat="1" applyFont="1" applyFill="1" applyBorder="1" applyAlignment="1">
      <alignment horizontal="right" vertical="center"/>
    </xf>
    <xf numFmtId="14" fontId="7" fillId="2" borderId="9" xfId="0" applyNumberFormat="1" applyFont="1" applyFill="1" applyBorder="1" applyAlignment="1">
      <alignment vertical="center"/>
    </xf>
    <xf numFmtId="0" fontId="7" fillId="2" borderId="9" xfId="0" applyFont="1" applyFill="1" applyBorder="1" applyAlignment="1">
      <alignment vertical="center"/>
    </xf>
    <xf numFmtId="179" fontId="7" fillId="2" borderId="9" xfId="1" applyNumberFormat="1" applyFont="1" applyFill="1" applyBorder="1" applyAlignment="1">
      <alignment horizontal="right" vertical="center"/>
    </xf>
    <xf numFmtId="164" fontId="3" fillId="4" borderId="9" xfId="0" applyNumberFormat="1" applyFont="1" applyFill="1" applyBorder="1" applyAlignment="1">
      <alignment vertical="center"/>
    </xf>
    <xf numFmtId="0" fontId="0" fillId="5" borderId="2" xfId="0" applyFill="1" applyBorder="1"/>
    <xf numFmtId="0" fontId="0" fillId="2" borderId="2" xfId="0" applyFill="1" applyBorder="1"/>
    <xf numFmtId="168" fontId="3" fillId="8" borderId="9" xfId="0" applyNumberFormat="1" applyFont="1" applyFill="1" applyBorder="1" applyAlignment="1">
      <alignment vertical="center"/>
    </xf>
    <xf numFmtId="0" fontId="4" fillId="2" borderId="2" xfId="0"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0" fontId="0" fillId="2" borderId="2" xfId="0" applyFill="1" applyBorder="1" applyAlignment="1">
      <alignment horizontal="left" vertical="center"/>
    </xf>
    <xf numFmtId="0" fontId="32" fillId="0" borderId="0" xfId="0" applyFont="1"/>
    <xf numFmtId="0" fontId="0" fillId="2" borderId="2" xfId="0" applyFill="1" applyBorder="1" applyAlignment="1">
      <alignment horizontal="right" vertical="center"/>
    </xf>
    <xf numFmtId="0" fontId="4" fillId="2" borderId="2" xfId="0" applyFont="1" applyFill="1" applyBorder="1" applyAlignment="1">
      <alignment horizontal="center" vertical="center"/>
    </xf>
    <xf numFmtId="0" fontId="7" fillId="2" borderId="2" xfId="0" applyFont="1" applyFill="1" applyBorder="1" applyAlignment="1">
      <alignment horizontal="left" vertical="center"/>
    </xf>
    <xf numFmtId="177" fontId="6" fillId="0" borderId="0" xfId="0" applyNumberFormat="1" applyFont="1" applyAlignment="1">
      <alignment vertical="center"/>
    </xf>
    <xf numFmtId="0" fontId="29" fillId="0" borderId="6" xfId="4" applyBorder="1" applyAlignment="1">
      <alignment vertical="center"/>
    </xf>
    <xf numFmtId="0" fontId="0" fillId="0" borderId="2" xfId="0" applyBorder="1" applyAlignment="1">
      <alignment horizontal="left" vertical="center" wrapText="1"/>
    </xf>
    <xf numFmtId="0" fontId="4" fillId="0" borderId="2" xfId="0" applyFont="1" applyBorder="1"/>
    <xf numFmtId="0" fontId="4" fillId="2" borderId="2" xfId="0" applyFont="1" applyFill="1" applyBorder="1" applyAlignment="1">
      <alignment horizontal="center"/>
    </xf>
    <xf numFmtId="0" fontId="3" fillId="0" borderId="0" xfId="0" applyFont="1" applyAlignment="1">
      <alignment horizontal="center" vertical="center"/>
    </xf>
    <xf numFmtId="0" fontId="7" fillId="5" borderId="2" xfId="0" applyFont="1" applyFill="1" applyBorder="1" applyAlignment="1">
      <alignment horizontal="center" vertical="center"/>
    </xf>
    <xf numFmtId="0" fontId="35" fillId="2" borderId="2" xfId="0" applyFont="1" applyFill="1" applyBorder="1" applyAlignment="1">
      <alignment vertical="center"/>
    </xf>
    <xf numFmtId="0" fontId="0" fillId="0" borderId="2" xfId="0" applyBorder="1" applyAlignment="1">
      <alignment horizontal="right" vertical="center" wrapText="1"/>
    </xf>
    <xf numFmtId="0" fontId="3" fillId="0" borderId="2" xfId="1" applyNumberFormat="1" applyFont="1" applyBorder="1" applyAlignment="1">
      <alignment horizontal="center" vertical="center" wrapText="1"/>
    </xf>
    <xf numFmtId="0" fontId="3" fillId="0" borderId="2" xfId="0" applyFont="1" applyBorder="1" applyAlignment="1">
      <alignment horizontal="center" vertical="center" wrapText="1"/>
    </xf>
    <xf numFmtId="2" fontId="0" fillId="2" borderId="5" xfId="3" applyNumberFormat="1" applyFont="1" applyFill="1" applyBorder="1" applyAlignment="1">
      <alignment horizontal="center" vertical="center"/>
    </xf>
    <xf numFmtId="171" fontId="16" fillId="2" borderId="3" xfId="1" applyNumberFormat="1" applyFont="1" applyFill="1" applyBorder="1" applyAlignment="1">
      <alignment horizontal="right" vertical="center"/>
    </xf>
    <xf numFmtId="176" fontId="0" fillId="2" borderId="17" xfId="3" applyNumberFormat="1" applyFont="1" applyFill="1" applyBorder="1" applyAlignment="1">
      <alignment horizontal="right" vertical="center"/>
    </xf>
    <xf numFmtId="0" fontId="0" fillId="0" borderId="2" xfId="0" applyBorder="1" applyAlignment="1">
      <alignment horizontal="left" vertical="center"/>
    </xf>
    <xf numFmtId="166" fontId="0" fillId="0" borderId="2" xfId="1" applyFont="1" applyBorder="1" applyAlignment="1">
      <alignment horizontal="right" vertical="center" wrapText="1"/>
    </xf>
    <xf numFmtId="0" fontId="0" fillId="0" borderId="2" xfId="0" applyBorder="1" applyAlignment="1">
      <alignment horizontal="center"/>
    </xf>
    <xf numFmtId="0" fontId="8" fillId="0" borderId="2" xfId="0" applyFont="1" applyBorder="1" applyAlignment="1">
      <alignment horizontal="center" vertical="center" wrapText="1"/>
    </xf>
    <xf numFmtId="168" fontId="3" fillId="0" borderId="46" xfId="1" applyNumberFormat="1" applyFont="1" applyBorder="1" applyAlignment="1">
      <alignment vertical="center"/>
    </xf>
    <xf numFmtId="168" fontId="3" fillId="0" borderId="66" xfId="1" applyNumberFormat="1" applyFont="1" applyBorder="1" applyAlignment="1">
      <alignment vertical="center"/>
    </xf>
    <xf numFmtId="168" fontId="3" fillId="2" borderId="9" xfId="1" applyNumberFormat="1" applyFont="1" applyFill="1" applyBorder="1" applyAlignment="1">
      <alignment vertical="center"/>
    </xf>
    <xf numFmtId="0" fontId="0" fillId="0" borderId="57" xfId="0" applyBorder="1" applyAlignment="1">
      <alignment vertical="center"/>
    </xf>
    <xf numFmtId="168" fontId="3" fillId="0" borderId="93" xfId="1" applyNumberFormat="1" applyFont="1" applyBorder="1" applyAlignment="1">
      <alignment vertical="center"/>
    </xf>
    <xf numFmtId="0" fontId="7" fillId="0" borderId="6" xfId="4" applyFont="1" applyBorder="1" applyAlignment="1">
      <alignment vertical="center"/>
    </xf>
    <xf numFmtId="0" fontId="34" fillId="0" borderId="0" xfId="4" applyFont="1" applyAlignment="1">
      <alignment vertical="center"/>
    </xf>
    <xf numFmtId="38" fontId="0" fillId="2" borderId="0" xfId="0" applyNumberFormat="1" applyFill="1" applyAlignment="1">
      <alignment vertical="center"/>
    </xf>
    <xf numFmtId="167" fontId="0" fillId="2" borderId="0" xfId="1" applyNumberFormat="1" applyFont="1" applyFill="1" applyAlignment="1">
      <alignment vertical="center"/>
    </xf>
    <xf numFmtId="0" fontId="13" fillId="0" borderId="0" xfId="0" applyFont="1" applyAlignment="1">
      <alignment vertical="center"/>
    </xf>
    <xf numFmtId="167" fontId="3" fillId="0" borderId="1" xfId="1" applyNumberFormat="1" applyFont="1" applyBorder="1" applyAlignment="1">
      <alignment vertical="center"/>
    </xf>
    <xf numFmtId="168" fontId="3" fillId="2" borderId="2" xfId="1" applyNumberFormat="1" applyFont="1" applyFill="1" applyBorder="1" applyAlignment="1">
      <alignment vertical="center" wrapText="1"/>
    </xf>
    <xf numFmtId="177" fontId="3" fillId="3" borderId="2" xfId="1" applyNumberFormat="1" applyFont="1" applyFill="1" applyBorder="1" applyAlignment="1">
      <alignment horizontal="right" vertical="center"/>
    </xf>
    <xf numFmtId="177" fontId="3" fillId="0" borderId="18" xfId="0" applyNumberFormat="1" applyFont="1" applyBorder="1" applyAlignment="1">
      <alignment vertical="center"/>
    </xf>
    <xf numFmtId="177" fontId="3" fillId="4" borderId="9" xfId="1" applyNumberFormat="1" applyFont="1" applyFill="1" applyBorder="1" applyAlignment="1">
      <alignment horizontal="right" vertical="center"/>
    </xf>
    <xf numFmtId="177" fontId="6" fillId="4" borderId="10" xfId="0" applyNumberFormat="1" applyFont="1" applyFill="1" applyBorder="1" applyAlignment="1">
      <alignment horizontal="left" vertical="center"/>
    </xf>
    <xf numFmtId="0" fontId="14" fillId="2" borderId="9" xfId="0" applyFont="1" applyFill="1" applyBorder="1" applyAlignment="1">
      <alignment horizontal="center" vertical="center"/>
    </xf>
    <xf numFmtId="177" fontId="6" fillId="0" borderId="16" xfId="0" applyNumberFormat="1" applyFont="1" applyBorder="1" applyAlignment="1">
      <alignment vertical="center"/>
    </xf>
    <xf numFmtId="177" fontId="3" fillId="0" borderId="0" xfId="0" applyNumberFormat="1" applyFont="1" applyAlignment="1">
      <alignment vertical="center"/>
    </xf>
    <xf numFmtId="0" fontId="0" fillId="0" borderId="6" xfId="0" applyBorder="1" applyAlignment="1">
      <alignment horizontal="left" vertical="center"/>
    </xf>
    <xf numFmtId="177" fontId="2" fillId="2" borderId="2" xfId="1" applyNumberFormat="1" applyFill="1" applyBorder="1" applyAlignment="1">
      <alignment vertical="center"/>
    </xf>
    <xf numFmtId="177" fontId="3" fillId="2" borderId="0" xfId="1" applyNumberFormat="1" applyFont="1" applyFill="1" applyAlignment="1">
      <alignment horizontal="right" vertical="center"/>
    </xf>
    <xf numFmtId="177" fontId="3" fillId="0" borderId="2" xfId="0" applyNumberFormat="1" applyFont="1" applyBorder="1" applyAlignment="1">
      <alignment vertical="center"/>
    </xf>
    <xf numFmtId="177" fontId="3" fillId="0" borderId="2" xfId="0" applyNumberFormat="1" applyFont="1" applyBorder="1" applyAlignment="1">
      <alignment horizontal="center" vertical="center"/>
    </xf>
    <xf numFmtId="38" fontId="0" fillId="0" borderId="0" xfId="0" applyNumberFormat="1" applyAlignment="1">
      <alignment vertical="center"/>
    </xf>
    <xf numFmtId="167" fontId="0" fillId="0" borderId="0" xfId="1" applyNumberFormat="1" applyFont="1" applyAlignment="1">
      <alignment vertical="center"/>
    </xf>
    <xf numFmtId="0" fontId="14" fillId="2" borderId="17" xfId="0" applyFont="1" applyFill="1" applyBorder="1" applyAlignment="1">
      <alignment horizontal="center" vertical="center"/>
    </xf>
    <xf numFmtId="177" fontId="15" fillId="2" borderId="0" xfId="1" applyNumberFormat="1" applyFont="1" applyFill="1" applyAlignment="1">
      <alignment vertical="center"/>
    </xf>
    <xf numFmtId="177" fontId="20" fillId="2" borderId="3" xfId="1" applyNumberFormat="1" applyFont="1" applyFill="1" applyBorder="1" applyAlignment="1">
      <alignment vertical="center"/>
    </xf>
    <xf numFmtId="177" fontId="20" fillId="2" borderId="4" xfId="1" applyNumberFormat="1" applyFont="1" applyFill="1" applyBorder="1" applyAlignment="1">
      <alignment vertical="center"/>
    </xf>
    <xf numFmtId="177" fontId="5" fillId="0" borderId="3" xfId="0" applyNumberFormat="1" applyFont="1" applyBorder="1" applyAlignment="1">
      <alignment vertical="center"/>
    </xf>
    <xf numFmtId="177" fontId="2" fillId="2" borderId="5" xfId="1" applyNumberFormat="1" applyFill="1" applyBorder="1" applyAlignment="1">
      <alignment vertical="center"/>
    </xf>
    <xf numFmtId="177" fontId="5" fillId="2" borderId="3" xfId="0" applyNumberFormat="1" applyFont="1" applyFill="1" applyBorder="1" applyAlignment="1">
      <alignment vertical="center"/>
    </xf>
    <xf numFmtId="177" fontId="2" fillId="2" borderId="17" xfId="1" applyNumberFormat="1" applyFill="1" applyBorder="1" applyAlignment="1">
      <alignment vertical="center"/>
    </xf>
    <xf numFmtId="177" fontId="20" fillId="2" borderId="15" xfId="1" applyNumberFormat="1" applyFont="1" applyFill="1" applyBorder="1" applyAlignment="1">
      <alignment vertical="center"/>
    </xf>
    <xf numFmtId="177" fontId="20" fillId="2" borderId="18" xfId="1" applyNumberFormat="1" applyFont="1" applyFill="1" applyBorder="1" applyAlignment="1">
      <alignment vertical="center"/>
    </xf>
    <xf numFmtId="177" fontId="5" fillId="2" borderId="15" xfId="0" applyNumberFormat="1" applyFont="1" applyFill="1" applyBorder="1" applyAlignment="1">
      <alignment vertical="center"/>
    </xf>
    <xf numFmtId="177" fontId="2" fillId="2" borderId="20" xfId="1" applyNumberFormat="1" applyFill="1" applyBorder="1" applyAlignment="1">
      <alignment vertical="center"/>
    </xf>
    <xf numFmtId="177" fontId="20" fillId="2" borderId="2" xfId="1" applyNumberFormat="1" applyFont="1" applyFill="1" applyBorder="1" applyAlignment="1">
      <alignment vertical="center"/>
    </xf>
    <xf numFmtId="0" fontId="5" fillId="0" borderId="38" xfId="0" applyFont="1" applyBorder="1" applyAlignment="1">
      <alignment vertical="center"/>
    </xf>
    <xf numFmtId="0" fontId="0" fillId="0" borderId="58" xfId="0" applyBorder="1" applyAlignment="1">
      <alignment vertical="center"/>
    </xf>
    <xf numFmtId="38" fontId="0" fillId="0" borderId="57" xfId="0" applyNumberFormat="1" applyBorder="1" applyAlignment="1">
      <alignment vertical="center"/>
    </xf>
    <xf numFmtId="167" fontId="0" fillId="0" borderId="57" xfId="1" applyNumberFormat="1" applyFont="1" applyBorder="1" applyAlignment="1">
      <alignment vertical="center"/>
    </xf>
    <xf numFmtId="177" fontId="20" fillId="2" borderId="62" xfId="1" applyNumberFormat="1" applyFont="1" applyFill="1" applyBorder="1" applyAlignment="1">
      <alignment vertical="center"/>
    </xf>
    <xf numFmtId="177" fontId="20" fillId="2" borderId="63" xfId="1" applyNumberFormat="1" applyFont="1" applyFill="1" applyBorder="1" applyAlignment="1">
      <alignment vertical="center"/>
    </xf>
    <xf numFmtId="177" fontId="20" fillId="2" borderId="56" xfId="1" applyNumberFormat="1" applyFont="1" applyFill="1" applyBorder="1" applyAlignment="1">
      <alignment vertical="center"/>
    </xf>
    <xf numFmtId="177" fontId="3" fillId="2" borderId="56" xfId="1" applyNumberFormat="1" applyFont="1" applyFill="1" applyBorder="1" applyAlignment="1">
      <alignment horizontal="right" vertical="center"/>
    </xf>
    <xf numFmtId="177" fontId="13" fillId="0" borderId="0" xfId="0" applyNumberFormat="1" applyFont="1" applyAlignment="1">
      <alignment vertical="center"/>
    </xf>
    <xf numFmtId="177" fontId="3" fillId="6" borderId="31" xfId="0" applyNumberFormat="1" applyFont="1" applyFill="1" applyBorder="1" applyAlignment="1">
      <alignment horizontal="right" vertical="center"/>
    </xf>
    <xf numFmtId="177" fontId="3" fillId="2" borderId="6" xfId="1" applyNumberFormat="1" applyFont="1" applyFill="1" applyBorder="1" applyAlignment="1">
      <alignment horizontal="right" vertical="center"/>
    </xf>
    <xf numFmtId="177" fontId="24" fillId="6" borderId="9" xfId="0" applyNumberFormat="1" applyFont="1" applyFill="1" applyBorder="1" applyAlignment="1">
      <alignment vertical="center"/>
    </xf>
    <xf numFmtId="0" fontId="0" fillId="0" borderId="16" xfId="0" applyBorder="1" applyAlignment="1">
      <alignment vertical="center"/>
    </xf>
    <xf numFmtId="0" fontId="13" fillId="0" borderId="16" xfId="0" applyFont="1" applyBorder="1" applyAlignment="1">
      <alignment vertical="center"/>
    </xf>
    <xf numFmtId="0" fontId="3" fillId="2" borderId="2" xfId="0" applyFont="1" applyFill="1" applyBorder="1" applyAlignment="1">
      <alignment horizontal="center" vertical="center"/>
    </xf>
    <xf numFmtId="0" fontId="20" fillId="0" borderId="2" xfId="0" applyFont="1" applyBorder="1" applyAlignment="1">
      <alignment vertical="center"/>
    </xf>
    <xf numFmtId="38" fontId="9" fillId="0" borderId="2" xfId="0" applyNumberFormat="1"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38" fontId="9" fillId="0" borderId="5" xfId="0" applyNumberFormat="1"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38" fontId="9" fillId="0" borderId="12" xfId="0" applyNumberFormat="1" applyFont="1" applyBorder="1" applyAlignment="1">
      <alignment vertical="center"/>
    </xf>
    <xf numFmtId="0" fontId="11" fillId="0" borderId="14" xfId="0" applyFont="1" applyBorder="1" applyAlignment="1">
      <alignment vertical="center"/>
    </xf>
    <xf numFmtId="0" fontId="9" fillId="0" borderId="1" xfId="0" applyFont="1" applyBorder="1" applyAlignment="1">
      <alignment vertical="center"/>
    </xf>
    <xf numFmtId="38" fontId="9" fillId="0" borderId="21" xfId="0" applyNumberFormat="1" applyFont="1" applyBorder="1" applyAlignment="1">
      <alignment vertical="center"/>
    </xf>
    <xf numFmtId="170" fontId="0" fillId="2" borderId="2" xfId="0" applyNumberFormat="1" applyFill="1" applyBorder="1" applyAlignment="1">
      <alignment horizontal="left" vertical="center"/>
    </xf>
    <xf numFmtId="164" fontId="0" fillId="0" borderId="2" xfId="0" applyNumberFormat="1" applyBorder="1" applyAlignment="1">
      <alignment vertical="center" wrapText="1"/>
    </xf>
    <xf numFmtId="0" fontId="37" fillId="0" borderId="0" xfId="4" applyFont="1" applyAlignment="1">
      <alignment vertical="center"/>
    </xf>
    <xf numFmtId="0" fontId="3" fillId="0" borderId="3" xfId="0" applyFont="1" applyBorder="1" applyAlignment="1">
      <alignment horizontal="center" vertical="center"/>
    </xf>
    <xf numFmtId="0" fontId="0" fillId="0" borderId="17" xfId="0" applyBorder="1" applyAlignment="1">
      <alignment horizontal="center" vertical="center"/>
    </xf>
    <xf numFmtId="0" fontId="0" fillId="2" borderId="3" xfId="0" applyFill="1" applyBorder="1" applyAlignment="1">
      <alignment horizontal="center" vertical="center"/>
    </xf>
    <xf numFmtId="0" fontId="3" fillId="2" borderId="17" xfId="0" applyFont="1" applyFill="1" applyBorder="1" applyAlignment="1">
      <alignment horizontal="center" vertical="center" wrapText="1"/>
    </xf>
    <xf numFmtId="166" fontId="4" fillId="2" borderId="2" xfId="1" applyFont="1" applyFill="1" applyBorder="1" applyAlignment="1">
      <alignment horizontal="center" vertical="center" wrapText="1"/>
    </xf>
    <xf numFmtId="166" fontId="3" fillId="2" borderId="2" xfId="1"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3" xfId="0" applyFill="1" applyBorder="1" applyAlignment="1">
      <alignment horizontal="center" vertical="center"/>
    </xf>
    <xf numFmtId="171" fontId="0" fillId="2" borderId="13" xfId="1" applyNumberFormat="1" applyFont="1" applyFill="1" applyBorder="1" applyAlignment="1">
      <alignment vertical="center"/>
    </xf>
    <xf numFmtId="166" fontId="0" fillId="2" borderId="13" xfId="1" applyFont="1" applyFill="1" applyBorder="1" applyAlignment="1">
      <alignment horizontal="right" vertical="center"/>
    </xf>
    <xf numFmtId="176" fontId="0" fillId="2" borderId="13" xfId="1" applyNumberFormat="1" applyFont="1" applyFill="1" applyBorder="1" applyAlignment="1">
      <alignment horizontal="right" vertical="center"/>
    </xf>
    <xf numFmtId="171" fontId="16" fillId="2" borderId="13" xfId="1" applyNumberFormat="1" applyFont="1" applyFill="1" applyBorder="1" applyAlignment="1">
      <alignment horizontal="right" vertical="center"/>
    </xf>
    <xf numFmtId="171" fontId="7" fillId="2" borderId="13" xfId="1" applyNumberFormat="1" applyFont="1" applyFill="1" applyBorder="1" applyAlignment="1">
      <alignment horizontal="right" vertical="center"/>
    </xf>
    <xf numFmtId="166" fontId="0" fillId="2" borderId="13" xfId="1" applyFont="1" applyFill="1" applyBorder="1" applyAlignment="1">
      <alignment horizontal="center" vertical="center"/>
    </xf>
    <xf numFmtId="10" fontId="0" fillId="2" borderId="13" xfId="2" applyNumberFormat="1" applyFont="1" applyFill="1" applyBorder="1" applyAlignment="1">
      <alignment horizontal="right" vertical="center"/>
    </xf>
    <xf numFmtId="171" fontId="0" fillId="2" borderId="0" xfId="1" applyNumberFormat="1" applyFont="1" applyFill="1" applyAlignment="1">
      <alignment vertical="center"/>
    </xf>
    <xf numFmtId="171" fontId="7" fillId="2" borderId="2" xfId="1" applyNumberFormat="1" applyFont="1" applyFill="1" applyBorder="1" applyAlignment="1">
      <alignment horizontal="right" vertical="center"/>
    </xf>
    <xf numFmtId="0" fontId="0" fillId="2" borderId="3" xfId="0" applyFill="1" applyBorder="1" applyAlignment="1">
      <alignment horizontal="center" vertical="center" wrapText="1"/>
    </xf>
    <xf numFmtId="0" fontId="0" fillId="2" borderId="47" xfId="0" applyFill="1" applyBorder="1" applyAlignment="1">
      <alignment horizontal="center" vertical="center"/>
    </xf>
    <xf numFmtId="176" fontId="0" fillId="2" borderId="48" xfId="0" applyNumberFormat="1" applyFill="1" applyBorder="1" applyAlignment="1">
      <alignment horizontal="right" vertical="center"/>
    </xf>
    <xf numFmtId="0" fontId="0" fillId="2" borderId="5" xfId="0" applyFill="1" applyBorder="1" applyAlignment="1">
      <alignment horizontal="center" vertical="center"/>
    </xf>
    <xf numFmtId="166" fontId="0" fillId="2" borderId="2" xfId="1" applyFont="1" applyFill="1" applyBorder="1" applyAlignment="1">
      <alignment horizontal="center" vertical="center"/>
    </xf>
    <xf numFmtId="10" fontId="0" fillId="2" borderId="2" xfId="2" applyNumberFormat="1" applyFont="1" applyFill="1" applyBorder="1" applyAlignment="1">
      <alignment horizontal="right" vertical="center"/>
    </xf>
    <xf numFmtId="166" fontId="0" fillId="2" borderId="2" xfId="1" applyFont="1" applyFill="1" applyBorder="1" applyAlignment="1">
      <alignment horizontal="right" vertical="center"/>
    </xf>
    <xf numFmtId="176" fontId="0" fillId="2" borderId="2" xfId="1" applyNumberFormat="1" applyFont="1" applyFill="1" applyBorder="1" applyAlignment="1">
      <alignment horizontal="right" vertical="center"/>
    </xf>
    <xf numFmtId="169" fontId="0" fillId="2" borderId="20" xfId="1" applyNumberFormat="1" applyFont="1" applyFill="1" applyBorder="1" applyAlignment="1">
      <alignment horizontal="center" vertical="center"/>
    </xf>
    <xf numFmtId="169" fontId="0" fillId="2" borderId="2" xfId="1" applyNumberFormat="1" applyFont="1" applyFill="1" applyBorder="1" applyAlignment="1">
      <alignment horizontal="center" vertical="center"/>
    </xf>
    <xf numFmtId="169" fontId="0" fillId="2" borderId="0" xfId="1" applyNumberFormat="1" applyFont="1" applyFill="1" applyAlignment="1">
      <alignment horizontal="center" vertical="center"/>
    </xf>
    <xf numFmtId="166" fontId="16" fillId="2" borderId="2" xfId="1" applyFont="1" applyFill="1" applyBorder="1" applyAlignment="1">
      <alignment horizontal="center" vertical="center"/>
    </xf>
    <xf numFmtId="10" fontId="16" fillId="2" borderId="2" xfId="2" applyNumberFormat="1" applyFont="1" applyFill="1" applyBorder="1" applyAlignment="1">
      <alignment horizontal="right" vertical="center"/>
    </xf>
    <xf numFmtId="176" fontId="0" fillId="2" borderId="48" xfId="1" applyNumberFormat="1" applyFont="1" applyFill="1" applyBorder="1" applyAlignment="1">
      <alignment vertical="center"/>
    </xf>
    <xf numFmtId="166" fontId="0" fillId="2" borderId="8" xfId="1" applyFont="1" applyFill="1" applyBorder="1" applyAlignment="1">
      <alignment horizontal="center" vertical="center"/>
    </xf>
    <xf numFmtId="166" fontId="0" fillId="0" borderId="2" xfId="1" applyFont="1" applyBorder="1" applyAlignment="1">
      <alignment horizontal="right" vertical="center"/>
    </xf>
    <xf numFmtId="0" fontId="4" fillId="2" borderId="0" xfId="1" applyNumberFormat="1" applyFont="1" applyFill="1" applyAlignment="1">
      <alignment horizontal="center" vertical="center"/>
    </xf>
    <xf numFmtId="165" fontId="0" fillId="2" borderId="0" xfId="0" applyNumberFormat="1" applyFill="1" applyAlignment="1">
      <alignment vertical="center"/>
    </xf>
    <xf numFmtId="166" fontId="0" fillId="2" borderId="17" xfId="1" applyFont="1" applyFill="1" applyBorder="1" applyAlignment="1">
      <alignment horizontal="center" vertical="center"/>
    </xf>
    <xf numFmtId="0" fontId="0" fillId="2" borderId="0" xfId="1" applyNumberFormat="1" applyFont="1" applyFill="1" applyAlignment="1">
      <alignment horizontal="center" vertical="center" wrapText="1"/>
    </xf>
    <xf numFmtId="176" fontId="0" fillId="2" borderId="2" xfId="0" applyNumberFormat="1" applyFill="1" applyBorder="1" applyAlignment="1">
      <alignment horizontal="right" vertical="center"/>
    </xf>
    <xf numFmtId="171" fontId="8" fillId="2" borderId="9" xfId="1" applyNumberFormat="1" applyFont="1" applyFill="1" applyBorder="1" applyAlignment="1">
      <alignment horizontal="right" vertical="center"/>
    </xf>
    <xf numFmtId="0" fontId="21" fillId="2" borderId="2" xfId="0" applyFont="1" applyFill="1" applyBorder="1" applyAlignment="1">
      <alignment horizontal="center" vertical="center" wrapText="1"/>
    </xf>
    <xf numFmtId="176" fontId="0" fillId="2" borderId="2" xfId="0" applyNumberFormat="1" applyFill="1" applyBorder="1" applyAlignment="1">
      <alignment vertical="center"/>
    </xf>
    <xf numFmtId="0" fontId="0" fillId="2" borderId="17" xfId="0" applyFill="1" applyBorder="1" applyAlignment="1">
      <alignment horizontal="left" vertical="center"/>
    </xf>
    <xf numFmtId="0" fontId="3" fillId="2" borderId="9" xfId="0" applyFont="1" applyFill="1" applyBorder="1" applyAlignment="1">
      <alignment horizontal="left" vertical="center"/>
    </xf>
    <xf numFmtId="176" fontId="3" fillId="2" borderId="9" xfId="0" applyNumberFormat="1" applyFont="1" applyFill="1" applyBorder="1" applyAlignment="1">
      <alignment horizontal="right" vertical="center"/>
    </xf>
    <xf numFmtId="14" fontId="0" fillId="0" borderId="2" xfId="0" applyNumberFormat="1" applyBorder="1" applyAlignment="1">
      <alignment vertical="center" wrapText="1"/>
    </xf>
    <xf numFmtId="164" fontId="16" fillId="2" borderId="2" xfId="1" applyNumberFormat="1" applyFont="1" applyFill="1" applyBorder="1" applyAlignment="1">
      <alignment vertical="center"/>
    </xf>
    <xf numFmtId="164" fontId="7" fillId="2" borderId="2" xfId="1" applyNumberFormat="1" applyFont="1" applyFill="1" applyBorder="1" applyAlignment="1">
      <alignment vertical="center"/>
    </xf>
    <xf numFmtId="0" fontId="0" fillId="5" borderId="2" xfId="0" applyFill="1" applyBorder="1" applyAlignment="1">
      <alignment vertical="center"/>
    </xf>
    <xf numFmtId="164" fontId="7" fillId="0" borderId="2" xfId="0" applyNumberFormat="1" applyFont="1" applyBorder="1" applyAlignment="1">
      <alignment vertical="center"/>
    </xf>
    <xf numFmtId="164" fontId="16" fillId="2" borderId="2" xfId="1" applyNumberFormat="1" applyFont="1" applyFill="1" applyBorder="1" applyAlignment="1">
      <alignment horizontal="right" vertical="center"/>
    </xf>
    <xf numFmtId="164" fontId="7" fillId="2" borderId="2" xfId="1" applyNumberFormat="1" applyFont="1" applyFill="1" applyBorder="1" applyAlignment="1">
      <alignment horizontal="right" vertical="center"/>
    </xf>
    <xf numFmtId="0" fontId="7" fillId="2" borderId="2" xfId="0" applyFont="1" applyFill="1" applyBorder="1" applyAlignment="1">
      <alignment horizontal="left" vertical="center" wrapText="1"/>
    </xf>
    <xf numFmtId="164" fontId="7" fillId="2" borderId="2" xfId="0" applyNumberFormat="1" applyFont="1" applyFill="1" applyBorder="1" applyAlignment="1">
      <alignment horizontal="left" vertical="center"/>
    </xf>
    <xf numFmtId="164" fontId="0" fillId="2" borderId="2" xfId="0" applyNumberFormat="1" applyFill="1" applyBorder="1" applyAlignment="1">
      <alignment horizontal="left" vertical="center"/>
    </xf>
    <xf numFmtId="177" fontId="0" fillId="2" borderId="9" xfId="0" applyNumberFormat="1" applyFill="1" applyBorder="1" applyAlignment="1">
      <alignment horizontal="right" vertical="center"/>
    </xf>
    <xf numFmtId="0" fontId="8" fillId="0" borderId="2" xfId="0" applyFont="1" applyBorder="1" applyAlignment="1">
      <alignment horizontal="center"/>
    </xf>
    <xf numFmtId="38" fontId="0" fillId="0" borderId="5" xfId="0" applyNumberFormat="1" applyBorder="1" applyAlignment="1">
      <alignment vertical="center"/>
    </xf>
    <xf numFmtId="0" fontId="3" fillId="0" borderId="11" xfId="0" applyFont="1" applyBorder="1" applyAlignment="1">
      <alignment vertical="center"/>
    </xf>
    <xf numFmtId="38" fontId="3" fillId="0" borderId="12" xfId="0" applyNumberFormat="1" applyFont="1" applyBorder="1" applyAlignment="1">
      <alignment vertical="center"/>
    </xf>
    <xf numFmtId="171" fontId="16" fillId="2" borderId="5" xfId="1" applyNumberFormat="1" applyFont="1" applyFill="1" applyBorder="1" applyAlignment="1">
      <alignment horizontal="center" vertical="center"/>
    </xf>
    <xf numFmtId="0" fontId="13" fillId="0" borderId="25" xfId="0" applyFont="1" applyBorder="1" applyAlignment="1">
      <alignment vertical="center"/>
    </xf>
    <xf numFmtId="0" fontId="13" fillId="0" borderId="77" xfId="0" applyFont="1" applyBorder="1" applyAlignment="1">
      <alignment vertical="center"/>
    </xf>
    <xf numFmtId="177" fontId="3" fillId="0" borderId="6" xfId="0" applyNumberFormat="1" applyFont="1" applyBorder="1" applyAlignment="1">
      <alignment vertical="center"/>
    </xf>
    <xf numFmtId="177" fontId="13" fillId="0" borderId="6" xfId="0" applyNumberFormat="1" applyFont="1" applyBorder="1" applyAlignment="1">
      <alignment vertical="center"/>
    </xf>
    <xf numFmtId="177" fontId="6" fillId="0" borderId="18" xfId="0" applyNumberFormat="1" applyFont="1" applyBorder="1" applyAlignment="1">
      <alignment vertical="center"/>
    </xf>
    <xf numFmtId="177" fontId="13" fillId="0" borderId="8" xfId="0" applyNumberFormat="1" applyFont="1" applyBorder="1" applyAlignment="1">
      <alignment vertical="center"/>
    </xf>
    <xf numFmtId="177" fontId="6" fillId="0" borderId="8" xfId="0" applyNumberFormat="1" applyFont="1" applyBorder="1" applyAlignment="1">
      <alignment vertical="center"/>
    </xf>
    <xf numFmtId="177" fontId="0" fillId="0" borderId="3" xfId="1" applyNumberFormat="1" applyFont="1" applyBorder="1" applyAlignment="1">
      <alignment horizontal="right" vertical="center"/>
    </xf>
    <xf numFmtId="177" fontId="3" fillId="3" borderId="3" xfId="1" applyNumberFormat="1" applyFont="1" applyFill="1" applyBorder="1" applyAlignment="1">
      <alignment horizontal="right" vertical="center"/>
    </xf>
    <xf numFmtId="177" fontId="3" fillId="4" borderId="10" xfId="1" applyNumberFormat="1" applyFont="1" applyFill="1" applyBorder="1" applyAlignment="1">
      <alignment horizontal="right" vertical="center"/>
    </xf>
    <xf numFmtId="167" fontId="0" fillId="0" borderId="3" xfId="1" applyNumberFormat="1" applyFont="1" applyBorder="1" applyAlignment="1">
      <alignment vertical="center"/>
    </xf>
    <xf numFmtId="177" fontId="3" fillId="0" borderId="3" xfId="0" applyNumberFormat="1" applyFont="1" applyBorder="1" applyAlignment="1">
      <alignment horizontal="center" vertical="center"/>
    </xf>
    <xf numFmtId="177" fontId="2" fillId="2" borderId="3" xfId="1" applyNumberFormat="1" applyFill="1" applyBorder="1" applyAlignment="1">
      <alignment horizontal="right" vertical="center"/>
    </xf>
    <xf numFmtId="177" fontId="2" fillId="2" borderId="15" xfId="1" applyNumberFormat="1" applyFill="1" applyBorder="1" applyAlignment="1">
      <alignment horizontal="right" vertical="center"/>
    </xf>
    <xf numFmtId="167" fontId="0" fillId="0" borderId="38" xfId="1" applyNumberFormat="1" applyFont="1" applyBorder="1" applyAlignment="1">
      <alignment vertical="center"/>
    </xf>
    <xf numFmtId="177" fontId="3" fillId="2" borderId="62" xfId="1" applyNumberFormat="1" applyFont="1" applyFill="1" applyBorder="1" applyAlignment="1">
      <alignment horizontal="right" vertical="center"/>
    </xf>
    <xf numFmtId="177" fontId="3" fillId="6" borderId="74" xfId="0" applyNumberFormat="1" applyFont="1" applyFill="1" applyBorder="1" applyAlignment="1">
      <alignment horizontal="right" vertical="center"/>
    </xf>
    <xf numFmtId="177" fontId="24" fillId="6" borderId="10" xfId="0" applyNumberFormat="1" applyFont="1" applyFill="1" applyBorder="1" applyAlignment="1">
      <alignment vertical="center"/>
    </xf>
    <xf numFmtId="164" fontId="10" fillId="0" borderId="10" xfId="0" applyNumberFormat="1" applyFont="1" applyBorder="1" applyAlignment="1">
      <alignment vertical="center"/>
    </xf>
    <xf numFmtId="164" fontId="9" fillId="0" borderId="14" xfId="0" applyNumberFormat="1" applyFont="1" applyBorder="1" applyAlignment="1">
      <alignment vertical="center"/>
    </xf>
    <xf numFmtId="0" fontId="7" fillId="0" borderId="0" xfId="4" applyFont="1" applyAlignment="1">
      <alignment vertical="center"/>
    </xf>
    <xf numFmtId="168" fontId="3" fillId="2" borderId="0" xfId="1" applyNumberFormat="1" applyFont="1" applyFill="1" applyAlignment="1">
      <alignment vertical="center" wrapText="1"/>
    </xf>
    <xf numFmtId="0" fontId="23" fillId="0" borderId="0" xfId="0" applyFont="1" applyAlignment="1">
      <alignment vertical="center"/>
    </xf>
    <xf numFmtId="167" fontId="23" fillId="0" borderId="0" xfId="1" applyNumberFormat="1" applyFont="1" applyAlignment="1">
      <alignment vertical="center"/>
    </xf>
    <xf numFmtId="167" fontId="23" fillId="2" borderId="0" xfId="1" applyNumberFormat="1" applyFont="1" applyFill="1" applyAlignment="1">
      <alignment vertical="center"/>
    </xf>
    <xf numFmtId="166" fontId="41" fillId="2" borderId="0" xfId="1" applyFont="1" applyFill="1" applyAlignment="1">
      <alignment horizontal="center" vertical="center"/>
    </xf>
    <xf numFmtId="0" fontId="42" fillId="2" borderId="0" xfId="0" applyFont="1" applyFill="1" applyAlignment="1">
      <alignment horizontal="center" vertical="center"/>
    </xf>
    <xf numFmtId="0" fontId="23" fillId="2" borderId="0" xfId="0" applyFont="1" applyFill="1" applyAlignment="1">
      <alignment vertical="center"/>
    </xf>
    <xf numFmtId="0" fontId="13" fillId="2" borderId="2" xfId="1" applyNumberFormat="1" applyFont="1" applyFill="1" applyBorder="1" applyAlignment="1">
      <alignment horizontal="center" vertical="center" wrapText="1"/>
    </xf>
    <xf numFmtId="0" fontId="42" fillId="2" borderId="2" xfId="0" applyFont="1" applyFill="1" applyBorder="1" applyAlignment="1">
      <alignment horizontal="center" vertical="center"/>
    </xf>
    <xf numFmtId="0" fontId="13" fillId="0" borderId="2" xfId="1" applyNumberFormat="1" applyFont="1" applyBorder="1" applyAlignment="1">
      <alignment horizontal="center" vertical="center" wrapText="1"/>
    </xf>
    <xf numFmtId="168" fontId="13" fillId="2" borderId="2" xfId="1" applyNumberFormat="1" applyFont="1" applyFill="1" applyBorder="1" applyAlignment="1">
      <alignment vertical="center" wrapText="1"/>
    </xf>
    <xf numFmtId="0" fontId="13" fillId="0" borderId="14" xfId="0" applyFont="1" applyBorder="1" applyAlignment="1">
      <alignment vertical="center"/>
    </xf>
    <xf numFmtId="0" fontId="13" fillId="0" borderId="1" xfId="0" applyFont="1" applyBorder="1" applyAlignment="1">
      <alignment vertical="center"/>
    </xf>
    <xf numFmtId="0" fontId="42" fillId="2" borderId="1" xfId="0" applyFont="1" applyFill="1" applyBorder="1" applyAlignment="1">
      <alignment horizontal="center" vertical="center"/>
    </xf>
    <xf numFmtId="177" fontId="42" fillId="0" borderId="14" xfId="0" applyNumberFormat="1" applyFont="1" applyBorder="1" applyAlignment="1">
      <alignment horizontal="left" vertical="center"/>
    </xf>
    <xf numFmtId="168" fontId="23" fillId="0" borderId="13" xfId="0" applyNumberFormat="1" applyFont="1" applyBorder="1" applyAlignment="1">
      <alignment vertical="center"/>
    </xf>
    <xf numFmtId="168" fontId="23" fillId="2" borderId="13" xfId="0" applyNumberFormat="1" applyFont="1" applyFill="1" applyBorder="1" applyAlignment="1">
      <alignment horizontal="right" vertical="center"/>
    </xf>
    <xf numFmtId="177" fontId="42" fillId="13" borderId="13" xfId="4" applyNumberFormat="1" applyFont="1" applyFill="1" applyBorder="1" applyAlignment="1">
      <alignment vertical="center"/>
    </xf>
    <xf numFmtId="177" fontId="23" fillId="0" borderId="3" xfId="0" applyNumberFormat="1" applyFont="1" applyBorder="1" applyAlignment="1">
      <alignment horizontal="left" vertical="center"/>
    </xf>
    <xf numFmtId="168" fontId="23" fillId="0" borderId="2" xfId="0" applyNumberFormat="1" applyFont="1" applyBorder="1" applyAlignment="1">
      <alignment vertical="center"/>
    </xf>
    <xf numFmtId="168" fontId="23" fillId="2" borderId="2" xfId="0" applyNumberFormat="1" applyFont="1" applyFill="1" applyBorder="1" applyAlignment="1">
      <alignment horizontal="right" vertical="center"/>
    </xf>
    <xf numFmtId="177" fontId="42" fillId="13" borderId="2" xfId="4" applyNumberFormat="1" applyFont="1" applyFill="1" applyBorder="1" applyAlignment="1">
      <alignment vertical="center"/>
    </xf>
    <xf numFmtId="177" fontId="13" fillId="3" borderId="3" xfId="0" applyNumberFormat="1" applyFont="1" applyFill="1" applyBorder="1" applyAlignment="1">
      <alignment horizontal="left" vertical="center"/>
    </xf>
    <xf numFmtId="177" fontId="13" fillId="3" borderId="2" xfId="1" applyNumberFormat="1" applyFont="1" applyFill="1" applyBorder="1" applyAlignment="1">
      <alignment horizontal="right" vertical="center"/>
    </xf>
    <xf numFmtId="177" fontId="14" fillId="3" borderId="2" xfId="1" applyNumberFormat="1" applyFont="1" applyFill="1" applyBorder="1" applyAlignment="1">
      <alignment vertical="center"/>
    </xf>
    <xf numFmtId="0" fontId="14" fillId="2" borderId="2" xfId="0" applyFont="1" applyFill="1" applyBorder="1" applyAlignment="1">
      <alignment horizontal="center" vertical="center"/>
    </xf>
    <xf numFmtId="177" fontId="13" fillId="0" borderId="15" xfId="0" applyNumberFormat="1" applyFont="1" applyBorder="1" applyAlignment="1">
      <alignment vertical="center"/>
    </xf>
    <xf numFmtId="177" fontId="13" fillId="0" borderId="18" xfId="0" applyNumberFormat="1" applyFont="1" applyBorder="1" applyAlignment="1">
      <alignment vertical="center"/>
    </xf>
    <xf numFmtId="0" fontId="42" fillId="2" borderId="4" xfId="0" applyFont="1" applyFill="1" applyBorder="1" applyAlignment="1">
      <alignment horizontal="center" vertical="center"/>
    </xf>
    <xf numFmtId="177" fontId="42" fillId="2" borderId="5" xfId="4" applyNumberFormat="1" applyFont="1" applyFill="1" applyBorder="1" applyAlignment="1">
      <alignment vertical="center"/>
    </xf>
    <xf numFmtId="177" fontId="23" fillId="0" borderId="2" xfId="1" applyNumberFormat="1" applyFont="1" applyBorder="1" applyAlignment="1">
      <alignment horizontal="right" vertical="center"/>
    </xf>
    <xf numFmtId="177" fontId="42" fillId="2" borderId="3" xfId="0" applyNumberFormat="1" applyFont="1" applyFill="1" applyBorder="1" applyAlignment="1">
      <alignment horizontal="left" vertical="center"/>
    </xf>
    <xf numFmtId="177" fontId="13" fillId="3" borderId="2" xfId="1" applyNumberFormat="1" applyFont="1" applyFill="1" applyBorder="1" applyAlignment="1">
      <alignment vertical="center"/>
    </xf>
    <xf numFmtId="177" fontId="13" fillId="4" borderId="9" xfId="1" applyNumberFormat="1" applyFont="1" applyFill="1" applyBorder="1" applyAlignment="1">
      <alignment horizontal="right" vertical="center"/>
    </xf>
    <xf numFmtId="177" fontId="14" fillId="4" borderId="9" xfId="1" applyNumberFormat="1" applyFont="1" applyFill="1" applyBorder="1" applyAlignment="1">
      <alignment vertical="center"/>
    </xf>
    <xf numFmtId="168" fontId="42" fillId="2" borderId="2" xfId="0" applyNumberFormat="1" applyFont="1" applyFill="1" applyBorder="1" applyAlignment="1">
      <alignment horizontal="right" vertical="center"/>
    </xf>
    <xf numFmtId="168" fontId="23" fillId="2" borderId="2" xfId="0" applyNumberFormat="1" applyFont="1" applyFill="1" applyBorder="1" applyAlignment="1">
      <alignment vertical="center"/>
    </xf>
    <xf numFmtId="167" fontId="23" fillId="0" borderId="2" xfId="1" applyNumberFormat="1" applyFont="1" applyBorder="1" applyAlignment="1">
      <alignment vertical="center"/>
    </xf>
    <xf numFmtId="0" fontId="23" fillId="0" borderId="6" xfId="0" applyFont="1" applyBorder="1" applyAlignment="1">
      <alignment vertical="center"/>
    </xf>
    <xf numFmtId="0" fontId="42" fillId="2" borderId="2" xfId="0" applyFont="1" applyFill="1" applyBorder="1" applyAlignment="1">
      <alignment horizontal="left" vertical="center"/>
    </xf>
    <xf numFmtId="166" fontId="23" fillId="0" borderId="0" xfId="1" applyFont="1" applyAlignment="1">
      <alignment vertical="center"/>
    </xf>
    <xf numFmtId="167" fontId="23" fillId="2" borderId="8" xfId="1" applyNumberFormat="1" applyFont="1" applyFill="1" applyBorder="1" applyAlignment="1">
      <alignment vertical="center"/>
    </xf>
    <xf numFmtId="177" fontId="23" fillId="0" borderId="3" xfId="0" applyNumberFormat="1" applyFont="1" applyBorder="1" applyAlignment="1">
      <alignment vertical="center"/>
    </xf>
    <xf numFmtId="177" fontId="23" fillId="2" borderId="2" xfId="1" applyNumberFormat="1" applyFont="1" applyFill="1" applyBorder="1" applyAlignment="1">
      <alignment horizontal="right" vertical="center"/>
    </xf>
    <xf numFmtId="177" fontId="23" fillId="2" borderId="3" xfId="0" applyNumberFormat="1" applyFont="1" applyFill="1" applyBorder="1" applyAlignment="1">
      <alignment horizontal="left" vertical="center"/>
    </xf>
    <xf numFmtId="177" fontId="23" fillId="2" borderId="3" xfId="0" applyNumberFormat="1" applyFont="1" applyFill="1" applyBorder="1" applyAlignment="1">
      <alignment vertical="center"/>
    </xf>
    <xf numFmtId="177" fontId="23" fillId="2" borderId="15" xfId="0" applyNumberFormat="1" applyFont="1" applyFill="1" applyBorder="1" applyAlignment="1">
      <alignment horizontal="left" vertical="center"/>
    </xf>
    <xf numFmtId="177" fontId="23" fillId="2" borderId="17" xfId="1" applyNumberFormat="1" applyFont="1" applyFill="1" applyBorder="1" applyAlignment="1">
      <alignment horizontal="right" vertical="center"/>
    </xf>
    <xf numFmtId="177" fontId="13" fillId="2" borderId="15" xfId="0" applyNumberFormat="1" applyFont="1" applyFill="1" applyBorder="1" applyAlignment="1">
      <alignment horizontal="center" vertical="center"/>
    </xf>
    <xf numFmtId="177" fontId="13" fillId="2" borderId="17" xfId="1" applyNumberFormat="1" applyFont="1" applyFill="1" applyBorder="1" applyAlignment="1">
      <alignment horizontal="right" vertical="center"/>
    </xf>
    <xf numFmtId="177" fontId="23" fillId="2" borderId="15" xfId="0" applyNumberFormat="1" applyFont="1" applyFill="1" applyBorder="1" applyAlignment="1">
      <alignment vertical="center"/>
    </xf>
    <xf numFmtId="177" fontId="23" fillId="2" borderId="2" xfId="0" applyNumberFormat="1" applyFont="1" applyFill="1" applyBorder="1" applyAlignment="1">
      <alignment horizontal="left" vertical="center"/>
    </xf>
    <xf numFmtId="0" fontId="23" fillId="0" borderId="38" xfId="0" applyFont="1" applyBorder="1" applyAlignment="1">
      <alignment vertical="center"/>
    </xf>
    <xf numFmtId="167" fontId="23" fillId="0" borderId="57" xfId="1" applyNumberFormat="1" applyFont="1" applyBorder="1" applyAlignment="1">
      <alignment vertical="center"/>
    </xf>
    <xf numFmtId="177" fontId="42" fillId="2" borderId="2" xfId="4" applyNumberFormat="1" applyFont="1" applyFill="1" applyBorder="1" applyAlignment="1">
      <alignment vertical="center"/>
    </xf>
    <xf numFmtId="177" fontId="13" fillId="2" borderId="62" xfId="0" applyNumberFormat="1" applyFont="1" applyFill="1" applyBorder="1" applyAlignment="1">
      <alignment horizontal="center" vertical="center"/>
    </xf>
    <xf numFmtId="177" fontId="13" fillId="2" borderId="56" xfId="1" applyNumberFormat="1" applyFont="1" applyFill="1" applyBorder="1" applyAlignment="1">
      <alignment horizontal="right" vertical="center"/>
    </xf>
    <xf numFmtId="177" fontId="13" fillId="7" borderId="56" xfId="1" applyNumberFormat="1" applyFont="1" applyFill="1" applyBorder="1" applyAlignment="1">
      <alignment horizontal="right" vertical="center"/>
    </xf>
    <xf numFmtId="0" fontId="14" fillId="2" borderId="56" xfId="0" applyFont="1" applyFill="1" applyBorder="1" applyAlignment="1">
      <alignment horizontal="center" vertical="center"/>
    </xf>
    <xf numFmtId="177" fontId="13" fillId="6" borderId="74" xfId="0" applyNumberFormat="1" applyFont="1" applyFill="1" applyBorder="1" applyAlignment="1">
      <alignment vertical="center"/>
    </xf>
    <xf numFmtId="177" fontId="13" fillId="6" borderId="31" xfId="0" applyNumberFormat="1" applyFont="1" applyFill="1" applyBorder="1" applyAlignment="1">
      <alignment horizontal="right" vertical="center"/>
    </xf>
    <xf numFmtId="0" fontId="14" fillId="2" borderId="31" xfId="0" applyFont="1" applyFill="1" applyBorder="1" applyAlignment="1">
      <alignment horizontal="center" vertical="center"/>
    </xf>
    <xf numFmtId="0" fontId="42" fillId="2" borderId="17" xfId="0" applyFont="1" applyFill="1" applyBorder="1" applyAlignment="1">
      <alignment horizontal="center" vertical="center"/>
    </xf>
    <xf numFmtId="177" fontId="23" fillId="0" borderId="6" xfId="0" applyNumberFormat="1" applyFont="1" applyBorder="1" applyAlignment="1">
      <alignment horizontal="left" vertical="center"/>
    </xf>
    <xf numFmtId="0" fontId="23" fillId="2" borderId="3" xfId="0" applyFont="1" applyFill="1" applyBorder="1" applyAlignment="1">
      <alignment vertical="center"/>
    </xf>
    <xf numFmtId="0" fontId="23" fillId="0" borderId="3" xfId="0" applyFont="1" applyBorder="1" applyAlignment="1">
      <alignment vertical="center"/>
    </xf>
    <xf numFmtId="0" fontId="23" fillId="2" borderId="15" xfId="0" applyFont="1" applyFill="1" applyBorder="1" applyAlignment="1">
      <alignment vertical="center"/>
    </xf>
    <xf numFmtId="0" fontId="42" fillId="2" borderId="13" xfId="0" applyFont="1" applyFill="1" applyBorder="1" applyAlignment="1">
      <alignment horizontal="center" vertical="center"/>
    </xf>
    <xf numFmtId="177" fontId="13" fillId="4" borderId="10" xfId="0" applyNumberFormat="1" applyFont="1" applyFill="1" applyBorder="1" applyAlignment="1">
      <alignment horizontal="left" vertical="center"/>
    </xf>
    <xf numFmtId="177" fontId="13" fillId="4" borderId="19" xfId="0" applyNumberFormat="1" applyFont="1" applyFill="1" applyBorder="1" applyAlignment="1">
      <alignment vertical="center"/>
    </xf>
    <xf numFmtId="0" fontId="14" fillId="6" borderId="10" xfId="0" applyFont="1" applyFill="1" applyBorder="1" applyAlignment="1">
      <alignment horizontal="center" vertical="center" wrapText="1"/>
    </xf>
    <xf numFmtId="177" fontId="13" fillId="6" borderId="9" xfId="0" applyNumberFormat="1" applyFont="1" applyFill="1" applyBorder="1" applyAlignment="1">
      <alignment vertical="center"/>
    </xf>
    <xf numFmtId="177" fontId="13" fillId="9" borderId="9" xfId="0" applyNumberFormat="1" applyFont="1" applyFill="1" applyBorder="1" applyAlignment="1">
      <alignment vertical="center"/>
    </xf>
    <xf numFmtId="0" fontId="14" fillId="2" borderId="9" xfId="0" applyFont="1" applyFill="1" applyBorder="1" applyAlignment="1">
      <alignment horizontal="center" vertical="center" wrapText="1"/>
    </xf>
    <xf numFmtId="0" fontId="13" fillId="0" borderId="2" xfId="0" applyFont="1" applyBorder="1" applyAlignment="1">
      <alignment horizontal="center" vertical="center"/>
    </xf>
    <xf numFmtId="0" fontId="13"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23" fillId="0" borderId="2" xfId="0" applyFont="1" applyBorder="1" applyAlignment="1">
      <alignment vertical="center"/>
    </xf>
    <xf numFmtId="177" fontId="23" fillId="2" borderId="2" xfId="1" applyNumberFormat="1" applyFont="1" applyFill="1" applyBorder="1" applyAlignment="1">
      <alignment vertical="center"/>
    </xf>
    <xf numFmtId="0" fontId="23" fillId="2" borderId="2" xfId="0" applyFont="1" applyFill="1" applyBorder="1" applyAlignment="1">
      <alignment horizontal="left" vertical="center"/>
    </xf>
    <xf numFmtId="0" fontId="23" fillId="0" borderId="17" xfId="0" applyFont="1" applyBorder="1" applyAlignment="1">
      <alignment vertical="center"/>
    </xf>
    <xf numFmtId="0" fontId="43" fillId="6" borderId="87" xfId="0" applyFont="1" applyFill="1" applyBorder="1" applyAlignment="1">
      <alignment vertical="center"/>
    </xf>
    <xf numFmtId="177" fontId="13" fillId="6" borderId="87" xfId="1" applyNumberFormat="1" applyFont="1" applyFill="1" applyBorder="1" applyAlignment="1">
      <alignment horizontal="right" vertical="center"/>
    </xf>
    <xf numFmtId="0" fontId="44" fillId="2" borderId="87" xfId="0" applyFont="1" applyFill="1" applyBorder="1" applyAlignment="1">
      <alignment horizontal="center" vertical="center"/>
    </xf>
    <xf numFmtId="0" fontId="42" fillId="0" borderId="13" xfId="0" applyFont="1" applyBorder="1" applyAlignment="1">
      <alignment vertical="center"/>
    </xf>
    <xf numFmtId="0" fontId="13" fillId="0" borderId="9" xfId="0" applyFont="1" applyBorder="1" applyAlignment="1">
      <alignment vertical="center"/>
    </xf>
    <xf numFmtId="177" fontId="13" fillId="10" borderId="9" xfId="1" applyNumberFormat="1" applyFont="1" applyFill="1" applyBorder="1" applyAlignment="1">
      <alignment horizontal="right" vertical="center"/>
    </xf>
    <xf numFmtId="177" fontId="13" fillId="9" borderId="9" xfId="1" applyNumberFormat="1" applyFont="1" applyFill="1" applyBorder="1" applyAlignment="1">
      <alignment horizontal="right" vertical="center"/>
    </xf>
    <xf numFmtId="0" fontId="42" fillId="2" borderId="9" xfId="0" applyFont="1" applyFill="1" applyBorder="1" applyAlignment="1">
      <alignment horizontal="center" vertical="center"/>
    </xf>
    <xf numFmtId="167" fontId="9" fillId="2" borderId="0" xfId="1" applyNumberFormat="1" applyFont="1" applyFill="1" applyAlignment="1">
      <alignment horizontal="left" vertical="center"/>
    </xf>
    <xf numFmtId="0" fontId="10" fillId="0" borderId="2" xfId="1" applyNumberFormat="1" applyFont="1" applyBorder="1" applyAlignment="1">
      <alignment horizontal="left" vertical="center" wrapText="1"/>
    </xf>
    <xf numFmtId="0" fontId="10" fillId="0" borderId="2" xfId="0" applyFont="1" applyBorder="1" applyAlignment="1">
      <alignment horizontal="left" vertical="center" wrapText="1"/>
    </xf>
    <xf numFmtId="0" fontId="9" fillId="0" borderId="21" xfId="0" applyFont="1" applyBorder="1" applyAlignment="1">
      <alignment horizontal="left" vertical="center"/>
    </xf>
    <xf numFmtId="168" fontId="9" fillId="2" borderId="13" xfId="0" applyNumberFormat="1" applyFont="1" applyFill="1" applyBorder="1" applyAlignment="1">
      <alignment horizontal="left" vertical="center"/>
    </xf>
    <xf numFmtId="168" fontId="9" fillId="2" borderId="2" xfId="0" applyNumberFormat="1" applyFont="1" applyFill="1" applyBorder="1" applyAlignment="1">
      <alignment horizontal="left" vertical="center"/>
    </xf>
    <xf numFmtId="177" fontId="10" fillId="3" borderId="2" xfId="1" applyNumberFormat="1" applyFont="1" applyFill="1" applyBorder="1" applyAlignment="1">
      <alignment horizontal="left" vertical="center"/>
    </xf>
    <xf numFmtId="177" fontId="35" fillId="2" borderId="5" xfId="4" applyNumberFormat="1" applyFont="1" applyFill="1" applyBorder="1" applyAlignment="1">
      <alignment horizontal="left" vertical="center"/>
    </xf>
    <xf numFmtId="177" fontId="9" fillId="0" borderId="2" xfId="1" applyNumberFormat="1" applyFont="1" applyBorder="1" applyAlignment="1">
      <alignment horizontal="left" vertical="center"/>
    </xf>
    <xf numFmtId="177" fontId="10" fillId="4" borderId="9" xfId="1" applyNumberFormat="1" applyFont="1" applyFill="1" applyBorder="1" applyAlignment="1">
      <alignment horizontal="left" vertical="center"/>
    </xf>
    <xf numFmtId="177" fontId="10" fillId="0" borderId="8" xfId="0" applyNumberFormat="1" applyFont="1" applyBorder="1" applyAlignment="1">
      <alignment horizontal="left" vertical="center"/>
    </xf>
    <xf numFmtId="168" fontId="35" fillId="2" borderId="2" xfId="0" applyNumberFormat="1" applyFont="1" applyFill="1" applyBorder="1" applyAlignment="1">
      <alignment horizontal="left" vertical="center"/>
    </xf>
    <xf numFmtId="167" fontId="9" fillId="0" borderId="2" xfId="1" applyNumberFormat="1" applyFont="1" applyBorder="1" applyAlignment="1">
      <alignment horizontal="left" vertical="center"/>
    </xf>
    <xf numFmtId="177" fontId="11" fillId="0" borderId="8" xfId="0" applyNumberFormat="1" applyFont="1" applyBorder="1" applyAlignment="1">
      <alignment horizontal="left" vertical="center"/>
    </xf>
    <xf numFmtId="177" fontId="35" fillId="2" borderId="21" xfId="4" applyNumberFormat="1" applyFont="1" applyFill="1" applyBorder="1" applyAlignment="1">
      <alignment horizontal="left" vertical="center"/>
    </xf>
    <xf numFmtId="167" fontId="9" fillId="2" borderId="8" xfId="1" applyNumberFormat="1" applyFont="1" applyFill="1" applyBorder="1" applyAlignment="1">
      <alignment horizontal="left" vertical="center"/>
    </xf>
    <xf numFmtId="177" fontId="9" fillId="2" borderId="2" xfId="1" applyNumberFormat="1" applyFont="1" applyFill="1" applyBorder="1" applyAlignment="1">
      <alignment horizontal="left" vertical="center"/>
    </xf>
    <xf numFmtId="177" fontId="9" fillId="2" borderId="17" xfId="1" applyNumberFormat="1" applyFont="1" applyFill="1" applyBorder="1" applyAlignment="1">
      <alignment horizontal="left" vertical="center"/>
    </xf>
    <xf numFmtId="177" fontId="10" fillId="2" borderId="56" xfId="1" applyNumberFormat="1" applyFont="1" applyFill="1" applyBorder="1" applyAlignment="1">
      <alignment horizontal="left" vertical="center"/>
    </xf>
    <xf numFmtId="177" fontId="10" fillId="6" borderId="31" xfId="0" applyNumberFormat="1" applyFont="1" applyFill="1" applyBorder="1" applyAlignment="1">
      <alignment horizontal="left" vertical="center"/>
    </xf>
    <xf numFmtId="177" fontId="10" fillId="6" borderId="9" xfId="0" applyNumberFormat="1" applyFont="1" applyFill="1" applyBorder="1" applyAlignment="1">
      <alignment horizontal="left" vertical="center"/>
    </xf>
    <xf numFmtId="0" fontId="11" fillId="2" borderId="2" xfId="0" applyFont="1" applyFill="1" applyBorder="1" applyAlignment="1">
      <alignment horizontal="left" vertical="center"/>
    </xf>
    <xf numFmtId="177" fontId="10" fillId="6" borderId="87" xfId="1" applyNumberFormat="1" applyFont="1" applyFill="1" applyBorder="1" applyAlignment="1">
      <alignment horizontal="left" vertical="center"/>
    </xf>
    <xf numFmtId="177" fontId="10" fillId="10" borderId="9" xfId="1" applyNumberFormat="1" applyFont="1" applyFill="1" applyBorder="1" applyAlignment="1">
      <alignment horizontal="left" vertical="center"/>
    </xf>
    <xf numFmtId="0" fontId="6" fillId="2" borderId="2" xfId="0" applyFont="1" applyFill="1" applyBorder="1" applyAlignment="1">
      <alignment horizontal="center" vertical="center" wrapText="1"/>
    </xf>
    <xf numFmtId="177" fontId="13" fillId="0" borderId="1" xfId="0" applyNumberFormat="1" applyFont="1" applyBorder="1" applyAlignment="1">
      <alignment vertical="center"/>
    </xf>
    <xf numFmtId="177" fontId="10" fillId="0" borderId="21" xfId="0" applyNumberFormat="1" applyFont="1" applyBorder="1" applyAlignment="1">
      <alignment horizontal="left" vertical="center"/>
    </xf>
    <xf numFmtId="0" fontId="23" fillId="0" borderId="1" xfId="0" applyFont="1" applyBorder="1" applyAlignment="1">
      <alignment vertical="center"/>
    </xf>
    <xf numFmtId="177" fontId="42" fillId="2" borderId="4" xfId="4" applyNumberFormat="1" applyFont="1" applyFill="1" applyBorder="1" applyAlignment="1">
      <alignment vertical="center"/>
    </xf>
    <xf numFmtId="177" fontId="42" fillId="2" borderId="1" xfId="4" applyNumberFormat="1" applyFont="1" applyFill="1" applyBorder="1" applyAlignment="1">
      <alignment vertical="center"/>
    </xf>
    <xf numFmtId="164" fontId="0" fillId="0" borderId="14" xfId="0" applyNumberFormat="1" applyBorder="1" applyAlignment="1">
      <alignment vertical="center"/>
    </xf>
    <xf numFmtId="177" fontId="23" fillId="0" borderId="18" xfId="1" applyNumberFormat="1" applyFont="1" applyBorder="1" applyAlignment="1">
      <alignment horizontal="right" vertical="center"/>
    </xf>
    <xf numFmtId="177" fontId="13" fillId="2" borderId="0" xfId="1" applyNumberFormat="1" applyFont="1" applyFill="1" applyAlignment="1">
      <alignment horizontal="right" vertical="center"/>
    </xf>
    <xf numFmtId="177" fontId="9" fillId="0" borderId="18" xfId="1" applyNumberFormat="1" applyFont="1" applyBorder="1" applyAlignment="1">
      <alignment horizontal="left" vertical="center"/>
    </xf>
    <xf numFmtId="168" fontId="13" fillId="2" borderId="5" xfId="1" applyNumberFormat="1" applyFont="1" applyFill="1" applyBorder="1" applyAlignment="1">
      <alignment horizontal="center" vertical="center" wrapText="1"/>
    </xf>
    <xf numFmtId="0" fontId="0" fillId="7" borderId="0" xfId="0" applyFill="1" applyAlignment="1">
      <alignment vertical="center"/>
    </xf>
    <xf numFmtId="0" fontId="0" fillId="0" borderId="18" xfId="0" applyBorder="1" applyAlignment="1">
      <alignment horizontal="left" vertical="center"/>
    </xf>
    <xf numFmtId="0" fontId="0" fillId="0" borderId="3" xfId="0" applyBorder="1" applyAlignment="1">
      <alignment horizontal="left" vertical="center"/>
    </xf>
    <xf numFmtId="177" fontId="23" fillId="0" borderId="15" xfId="0" applyNumberFormat="1" applyFont="1" applyBorder="1" applyAlignment="1">
      <alignment horizontal="left" vertical="center"/>
    </xf>
    <xf numFmtId="177" fontId="0" fillId="7" borderId="2" xfId="0" applyNumberFormat="1" applyFill="1" applyBorder="1" applyAlignment="1">
      <alignment horizontal="right" vertical="center"/>
    </xf>
    <xf numFmtId="177" fontId="0" fillId="7" borderId="2" xfId="1" applyNumberFormat="1" applyFont="1" applyFill="1" applyBorder="1" applyAlignment="1">
      <alignment horizontal="right" vertical="center"/>
    </xf>
    <xf numFmtId="177" fontId="0" fillId="7" borderId="3" xfId="1" applyNumberFormat="1" applyFont="1" applyFill="1" applyBorder="1" applyAlignment="1">
      <alignment horizontal="right" vertical="center"/>
    </xf>
    <xf numFmtId="0" fontId="23" fillId="7" borderId="6" xfId="0" applyFont="1" applyFill="1" applyBorder="1" applyAlignment="1">
      <alignment horizontal="left" vertical="center"/>
    </xf>
    <xf numFmtId="168" fontId="23" fillId="7" borderId="2" xfId="0" applyNumberFormat="1" applyFont="1" applyFill="1" applyBorder="1" applyAlignment="1">
      <alignment vertical="center"/>
    </xf>
    <xf numFmtId="168" fontId="23" fillId="7" borderId="2" xfId="0" applyNumberFormat="1" applyFont="1" applyFill="1" applyBorder="1" applyAlignment="1">
      <alignment horizontal="right" vertical="center"/>
    </xf>
    <xf numFmtId="177" fontId="42" fillId="7" borderId="2" xfId="4" applyNumberFormat="1" applyFont="1" applyFill="1" applyBorder="1" applyAlignment="1">
      <alignment vertical="center"/>
    </xf>
    <xf numFmtId="0" fontId="42" fillId="7" borderId="2" xfId="0" applyFont="1" applyFill="1" applyBorder="1" applyAlignment="1">
      <alignment horizontal="center" vertical="center"/>
    </xf>
    <xf numFmtId="0" fontId="42" fillId="7" borderId="0" xfId="0" applyFont="1" applyFill="1" applyAlignment="1">
      <alignment horizontal="center" vertical="center"/>
    </xf>
    <xf numFmtId="168" fontId="9" fillId="7" borderId="2" xfId="0" applyNumberFormat="1" applyFont="1" applyFill="1" applyBorder="1" applyAlignment="1">
      <alignment horizontal="left" vertical="center"/>
    </xf>
    <xf numFmtId="0" fontId="7" fillId="7" borderId="6" xfId="4" applyFont="1" applyFill="1" applyBorder="1" applyAlignment="1">
      <alignment vertical="center"/>
    </xf>
    <xf numFmtId="177" fontId="23" fillId="7" borderId="3" xfId="0" applyNumberFormat="1" applyFont="1" applyFill="1" applyBorder="1" applyAlignment="1">
      <alignment horizontal="left" vertical="center"/>
    </xf>
    <xf numFmtId="168" fontId="42" fillId="7" borderId="2" xfId="0" applyNumberFormat="1" applyFont="1" applyFill="1" applyBorder="1" applyAlignment="1">
      <alignment horizontal="right" vertical="center"/>
    </xf>
    <xf numFmtId="168" fontId="35" fillId="7" borderId="2" xfId="0" applyNumberFormat="1" applyFont="1" applyFill="1" applyBorder="1" applyAlignment="1">
      <alignment horizontal="left" vertical="center"/>
    </xf>
    <xf numFmtId="0" fontId="7" fillId="0" borderId="0" xfId="4" applyFont="1" applyBorder="1" applyAlignment="1">
      <alignment vertical="center"/>
    </xf>
    <xf numFmtId="167" fontId="23" fillId="2" borderId="2" xfId="1" applyNumberFormat="1" applyFont="1" applyFill="1" applyBorder="1" applyAlignment="1">
      <alignment vertical="center"/>
    </xf>
    <xf numFmtId="177" fontId="6" fillId="4" borderId="9" xfId="1" applyNumberFormat="1" applyFont="1" applyFill="1" applyBorder="1" applyAlignment="1">
      <alignment horizontal="right" vertical="center"/>
    </xf>
    <xf numFmtId="168" fontId="0" fillId="2" borderId="25" xfId="1" applyNumberFormat="1" applyFont="1" applyFill="1" applyBorder="1" applyAlignment="1">
      <alignment vertical="center"/>
    </xf>
    <xf numFmtId="0" fontId="0" fillId="0" borderId="77" xfId="0" applyBorder="1" applyAlignment="1">
      <alignment vertical="center"/>
    </xf>
    <xf numFmtId="0" fontId="45" fillId="0" borderId="2" xfId="0" applyFont="1" applyBorder="1" applyAlignment="1">
      <alignment horizontal="left" vertical="center"/>
    </xf>
    <xf numFmtId="168" fontId="0" fillId="2" borderId="7" xfId="1" applyNumberFormat="1" applyFont="1" applyFill="1" applyBorder="1" applyAlignment="1">
      <alignment vertical="center"/>
    </xf>
    <xf numFmtId="0" fontId="0" fillId="0" borderId="7" xfId="0" applyBorder="1" applyAlignment="1">
      <alignment vertical="center"/>
    </xf>
    <xf numFmtId="168" fontId="0" fillId="2" borderId="2" xfId="1" applyNumberFormat="1" applyFont="1" applyFill="1" applyBorder="1" applyAlignment="1">
      <alignment vertical="center"/>
    </xf>
    <xf numFmtId="0" fontId="0" fillId="8" borderId="11" xfId="0" applyFill="1" applyBorder="1" applyAlignment="1">
      <alignment horizontal="left" vertical="center"/>
    </xf>
    <xf numFmtId="168" fontId="0" fillId="2" borderId="60" xfId="1" applyNumberFormat="1" applyFont="1" applyFill="1" applyBorder="1" applyAlignment="1">
      <alignment vertical="center"/>
    </xf>
    <xf numFmtId="0" fontId="0" fillId="0" borderId="60" xfId="0" applyBorder="1" applyAlignment="1">
      <alignment vertical="center"/>
    </xf>
    <xf numFmtId="0" fontId="0" fillId="0" borderId="9" xfId="0" applyBorder="1" applyAlignment="1">
      <alignment horizontal="left" vertical="center"/>
    </xf>
    <xf numFmtId="177" fontId="0" fillId="0" borderId="2" xfId="0" applyNumberFormat="1" applyBorder="1" applyAlignment="1">
      <alignment horizontal="left" vertical="center"/>
    </xf>
    <xf numFmtId="177" fontId="0" fillId="2" borderId="2" xfId="0" applyNumberFormat="1" applyFill="1" applyBorder="1" applyAlignment="1">
      <alignment vertical="center"/>
    </xf>
    <xf numFmtId="0" fontId="3" fillId="2" borderId="2" xfId="0" applyFont="1" applyFill="1" applyBorder="1" applyAlignment="1">
      <alignment horizontal="center" vertical="center" wrapText="1"/>
    </xf>
    <xf numFmtId="168" fontId="3" fillId="2" borderId="9" xfId="0" applyNumberFormat="1" applyFont="1" applyFill="1" applyBorder="1" applyAlignment="1">
      <alignment vertical="center"/>
    </xf>
    <xf numFmtId="0" fontId="3" fillId="2" borderId="52" xfId="0" applyFont="1" applyFill="1" applyBorder="1" applyAlignment="1">
      <alignment horizontal="center" vertical="center" wrapText="1"/>
    </xf>
    <xf numFmtId="164" fontId="3" fillId="2" borderId="45" xfId="1" applyNumberFormat="1" applyFont="1" applyFill="1" applyBorder="1" applyAlignment="1">
      <alignment horizontal="right" vertical="center"/>
    </xf>
    <xf numFmtId="171" fontId="3" fillId="2" borderId="9" xfId="1" applyNumberFormat="1" applyFont="1" applyFill="1" applyBorder="1" applyAlignment="1">
      <alignment horizontal="right" vertical="center"/>
    </xf>
    <xf numFmtId="171" fontId="3" fillId="2" borderId="2" xfId="0" applyNumberFormat="1" applyFont="1" applyFill="1" applyBorder="1" applyAlignment="1">
      <alignment horizontal="center" vertical="center" wrapText="1"/>
    </xf>
    <xf numFmtId="171" fontId="3" fillId="2" borderId="2" xfId="1" applyNumberFormat="1" applyFont="1" applyFill="1" applyBorder="1" applyAlignment="1">
      <alignment horizontal="center" vertical="center" wrapText="1"/>
    </xf>
    <xf numFmtId="166" fontId="47" fillId="14" borderId="2" xfId="1" applyFont="1" applyFill="1" applyBorder="1" applyAlignment="1">
      <alignment vertical="center"/>
    </xf>
    <xf numFmtId="0" fontId="47" fillId="2" borderId="2" xfId="1" applyNumberFormat="1" applyFont="1" applyFill="1" applyBorder="1" applyAlignment="1">
      <alignment horizontal="center" vertical="center"/>
    </xf>
    <xf numFmtId="171" fontId="47" fillId="2" borderId="2" xfId="1" applyNumberFormat="1" applyFont="1" applyFill="1" applyBorder="1" applyAlignment="1">
      <alignment horizontal="right" vertical="center"/>
    </xf>
    <xf numFmtId="171" fontId="47" fillId="2" borderId="2" xfId="1" applyNumberFormat="1" applyFont="1" applyFill="1" applyBorder="1" applyAlignment="1">
      <alignment horizontal="center" vertical="center"/>
    </xf>
    <xf numFmtId="166" fontId="3" fillId="14" borderId="2" xfId="1" applyFont="1" applyFill="1" applyBorder="1" applyAlignment="1">
      <alignment vertical="center"/>
    </xf>
    <xf numFmtId="166" fontId="3" fillId="14" borderId="17" xfId="1" applyFont="1" applyFill="1" applyBorder="1" applyAlignment="1">
      <alignment vertical="center"/>
    </xf>
    <xf numFmtId="171" fontId="3" fillId="2" borderId="64" xfId="1" applyNumberFormat="1" applyFont="1" applyFill="1" applyBorder="1" applyAlignment="1">
      <alignment horizontal="center" vertical="center"/>
    </xf>
    <xf numFmtId="166" fontId="3" fillId="14" borderId="64" xfId="1" applyFont="1" applyFill="1" applyBorder="1" applyAlignment="1">
      <alignment vertical="center"/>
    </xf>
    <xf numFmtId="171" fontId="3" fillId="2" borderId="64" xfId="1" applyNumberFormat="1" applyFont="1" applyFill="1" applyBorder="1" applyAlignment="1">
      <alignment horizontal="right" vertical="center"/>
    </xf>
    <xf numFmtId="171" fontId="3" fillId="2" borderId="13" xfId="1" applyNumberFormat="1" applyFont="1" applyFill="1" applyBorder="1" applyAlignment="1">
      <alignment horizontal="right" vertical="center"/>
    </xf>
    <xf numFmtId="171" fontId="3" fillId="2" borderId="13" xfId="1" applyNumberFormat="1" applyFont="1" applyFill="1" applyBorder="1" applyAlignment="1">
      <alignment horizontal="center" vertical="center"/>
    </xf>
    <xf numFmtId="171" fontId="3" fillId="2" borderId="2" xfId="1" applyNumberFormat="1" applyFont="1" applyFill="1" applyBorder="1" applyAlignment="1">
      <alignment horizontal="right" vertical="center"/>
    </xf>
    <xf numFmtId="166" fontId="3" fillId="2" borderId="2" xfId="1" applyFont="1" applyFill="1" applyBorder="1" applyAlignment="1">
      <alignment horizontal="center" vertical="center"/>
    </xf>
    <xf numFmtId="171" fontId="3" fillId="2" borderId="2" xfId="1" applyNumberFormat="1" applyFont="1" applyFill="1" applyBorder="1" applyAlignment="1">
      <alignment horizontal="center" vertical="center"/>
    </xf>
    <xf numFmtId="171" fontId="3" fillId="2" borderId="9" xfId="1" applyNumberFormat="1" applyFont="1" applyFill="1" applyBorder="1" applyAlignment="1">
      <alignment horizontal="center" vertical="center"/>
    </xf>
    <xf numFmtId="166" fontId="3" fillId="14" borderId="9" xfId="1" applyFont="1" applyFill="1" applyBorder="1" applyAlignment="1">
      <alignment vertical="center"/>
    </xf>
    <xf numFmtId="166" fontId="3" fillId="2" borderId="9" xfId="1" applyFont="1" applyFill="1" applyBorder="1" applyAlignment="1">
      <alignment horizontal="center" vertical="center"/>
    </xf>
    <xf numFmtId="171" fontId="16" fillId="2" borderId="2" xfId="1" applyNumberFormat="1" applyFont="1" applyFill="1" applyBorder="1" applyAlignment="1">
      <alignment horizontal="center" vertical="center"/>
    </xf>
    <xf numFmtId="166" fontId="3" fillId="15" borderId="2" xfId="1" applyFont="1" applyFill="1" applyBorder="1" applyAlignment="1">
      <alignment vertical="center"/>
    </xf>
    <xf numFmtId="171" fontId="3" fillId="15" borderId="2" xfId="1" applyNumberFormat="1" applyFont="1" applyFill="1" applyBorder="1" applyAlignment="1">
      <alignment horizontal="center" vertical="center"/>
    </xf>
    <xf numFmtId="171" fontId="3" fillId="15" borderId="2" xfId="1" applyNumberFormat="1" applyFont="1" applyFill="1" applyBorder="1" applyAlignment="1">
      <alignment horizontal="right" vertical="center"/>
    </xf>
    <xf numFmtId="166" fontId="3" fillId="14" borderId="17" xfId="1" applyFont="1" applyFill="1" applyBorder="1" applyAlignment="1">
      <alignment horizontal="center" vertical="center" wrapText="1"/>
    </xf>
    <xf numFmtId="166" fontId="3" fillId="2" borderId="17" xfId="1" applyFont="1" applyFill="1" applyBorder="1" applyAlignment="1">
      <alignment horizontal="center" vertical="center" wrapText="1"/>
    </xf>
    <xf numFmtId="0" fontId="3" fillId="2" borderId="17" xfId="1" applyNumberFormat="1" applyFont="1" applyFill="1" applyBorder="1" applyAlignment="1">
      <alignment horizontal="center" vertical="center" wrapText="1"/>
    </xf>
    <xf numFmtId="171" fontId="3" fillId="2" borderId="17" xfId="1" applyNumberFormat="1" applyFont="1" applyFill="1" applyBorder="1" applyAlignment="1">
      <alignment horizontal="center" vertical="center" wrapText="1"/>
    </xf>
    <xf numFmtId="171" fontId="3" fillId="2" borderId="17" xfId="0" applyNumberFormat="1" applyFont="1" applyFill="1" applyBorder="1" applyAlignment="1">
      <alignment horizontal="center" vertical="center" wrapText="1"/>
    </xf>
    <xf numFmtId="17" fontId="3" fillId="2" borderId="17" xfId="1"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xf>
    <xf numFmtId="0" fontId="3" fillId="2" borderId="2" xfId="1" applyNumberFormat="1" applyFont="1" applyFill="1" applyBorder="1" applyAlignment="1">
      <alignment horizontal="left" vertical="center"/>
    </xf>
    <xf numFmtId="171" fontId="2" fillId="2" borderId="2" xfId="1" applyNumberFormat="1" applyFont="1" applyFill="1" applyBorder="1" applyAlignment="1">
      <alignment horizontal="center" vertical="center" wrapText="1"/>
    </xf>
    <xf numFmtId="171" fontId="3" fillId="4" borderId="2" xfId="1" applyNumberFormat="1" applyFont="1" applyFill="1" applyBorder="1" applyAlignment="1">
      <alignment vertical="center"/>
    </xf>
    <xf numFmtId="171" fontId="3" fillId="0" borderId="9" xfId="1" applyNumberFormat="1" applyFont="1" applyBorder="1" applyAlignment="1">
      <alignment vertical="center"/>
    </xf>
    <xf numFmtId="164" fontId="0" fillId="2" borderId="2" xfId="0" applyNumberFormat="1" applyFill="1" applyBorder="1" applyAlignment="1">
      <alignment horizontal="right" vertical="center"/>
    </xf>
    <xf numFmtId="179" fontId="15" fillId="0" borderId="2" xfId="0" applyNumberFormat="1" applyFont="1" applyBorder="1" applyAlignment="1">
      <alignment horizontal="center" vertical="center"/>
    </xf>
    <xf numFmtId="179" fontId="16" fillId="0" borderId="2" xfId="1" applyNumberFormat="1" applyFont="1" applyBorder="1" applyAlignment="1">
      <alignment horizontal="right" vertical="center"/>
    </xf>
    <xf numFmtId="179" fontId="0" fillId="0" borderId="2" xfId="0" applyNumberFormat="1" applyBorder="1" applyAlignment="1">
      <alignment horizontal="center" vertical="center" wrapText="1"/>
    </xf>
    <xf numFmtId="179" fontId="16" fillId="0" borderId="2" xfId="1" applyNumberFormat="1" applyFont="1" applyBorder="1" applyAlignment="1">
      <alignment vertical="center"/>
    </xf>
    <xf numFmtId="179" fontId="0" fillId="2" borderId="2" xfId="1" applyNumberFormat="1" applyFont="1" applyFill="1" applyBorder="1" applyAlignment="1">
      <alignment vertical="center"/>
    </xf>
    <xf numFmtId="179" fontId="3" fillId="2" borderId="9" xfId="1" applyNumberFormat="1" applyFont="1" applyFill="1" applyBorder="1" applyAlignment="1">
      <alignment horizontal="right" vertical="center"/>
    </xf>
    <xf numFmtId="0" fontId="3" fillId="0" borderId="3" xfId="0" applyFont="1" applyBorder="1" applyAlignment="1">
      <alignment horizontal="right" vertical="center"/>
    </xf>
    <xf numFmtId="14" fontId="3" fillId="0" borderId="4" xfId="0" applyNumberFormat="1" applyFont="1" applyBorder="1" applyAlignment="1">
      <alignment vertical="center"/>
    </xf>
    <xf numFmtId="14" fontId="3" fillId="0" borderId="5" xfId="0" applyNumberFormat="1" applyFont="1" applyBorder="1" applyAlignment="1">
      <alignment vertical="center"/>
    </xf>
    <xf numFmtId="2" fontId="0" fillId="2" borderId="23" xfId="3" applyNumberFormat="1" applyFont="1" applyFill="1" applyBorder="1" applyAlignment="1">
      <alignment horizontal="center" vertical="center"/>
    </xf>
    <xf numFmtId="176" fontId="0" fillId="2" borderId="52" xfId="3" applyNumberFormat="1" applyFont="1" applyFill="1" applyBorder="1" applyAlignment="1">
      <alignment horizontal="center" vertical="center"/>
    </xf>
    <xf numFmtId="2" fontId="0" fillId="2" borderId="52" xfId="3" applyNumberFormat="1" applyFont="1" applyFill="1" applyBorder="1" applyAlignment="1">
      <alignment horizontal="center" vertical="center"/>
    </xf>
    <xf numFmtId="179" fontId="0" fillId="2" borderId="44" xfId="1" applyNumberFormat="1" applyFont="1" applyFill="1" applyBorder="1" applyAlignment="1">
      <alignment horizontal="right" vertical="center"/>
    </xf>
    <xf numFmtId="171" fontId="16" fillId="2" borderId="3" xfId="1" applyNumberFormat="1" applyFont="1" applyFill="1" applyBorder="1" applyAlignment="1">
      <alignment vertical="center"/>
    </xf>
    <xf numFmtId="171" fontId="4" fillId="2" borderId="10" xfId="1" applyNumberFormat="1" applyFont="1" applyFill="1" applyBorder="1" applyAlignment="1">
      <alignment horizontal="right" vertical="center"/>
    </xf>
    <xf numFmtId="14" fontId="3" fillId="0" borderId="42" xfId="0" applyNumberFormat="1" applyFont="1" applyBorder="1" applyAlignment="1">
      <alignment vertical="center"/>
    </xf>
    <xf numFmtId="2" fontId="0" fillId="2" borderId="23" xfId="3" applyNumberFormat="1" applyFont="1" applyFill="1" applyBorder="1" applyAlignment="1">
      <alignment horizontal="right" vertical="center"/>
    </xf>
    <xf numFmtId="176" fontId="0" fillId="2" borderId="52" xfId="3" applyNumberFormat="1" applyFont="1" applyFill="1" applyBorder="1" applyAlignment="1">
      <alignment horizontal="right" vertical="center"/>
    </xf>
    <xf numFmtId="2" fontId="0" fillId="2" borderId="52" xfId="3" applyNumberFormat="1" applyFont="1" applyFill="1" applyBorder="1" applyAlignment="1">
      <alignment horizontal="right" vertical="center"/>
    </xf>
    <xf numFmtId="2" fontId="0" fillId="2" borderId="45" xfId="3" applyNumberFormat="1" applyFont="1" applyFill="1" applyBorder="1" applyAlignment="1">
      <alignment horizontal="right" vertical="center"/>
    </xf>
    <xf numFmtId="176" fontId="0" fillId="2" borderId="2" xfId="3" applyNumberFormat="1" applyFont="1" applyFill="1" applyBorder="1" applyAlignment="1">
      <alignment horizontal="right" vertical="center"/>
    </xf>
    <xf numFmtId="171" fontId="16" fillId="2" borderId="17" xfId="1" applyNumberFormat="1" applyFont="1" applyFill="1" applyBorder="1" applyAlignment="1">
      <alignment horizontal="right" vertical="center"/>
    </xf>
    <xf numFmtId="179" fontId="0" fillId="2" borderId="17" xfId="1" applyNumberFormat="1" applyFont="1" applyFill="1" applyBorder="1" applyAlignment="1">
      <alignment vertical="center"/>
    </xf>
    <xf numFmtId="179" fontId="0" fillId="2" borderId="69" xfId="1" applyNumberFormat="1" applyFont="1" applyFill="1" applyBorder="1" applyAlignment="1">
      <alignment horizontal="right" vertical="center"/>
    </xf>
    <xf numFmtId="179" fontId="0" fillId="2" borderId="64" xfId="1" applyNumberFormat="1" applyFont="1" applyFill="1" applyBorder="1" applyAlignment="1">
      <alignment vertical="center"/>
    </xf>
    <xf numFmtId="179" fontId="0" fillId="2" borderId="7" xfId="1" applyNumberFormat="1" applyFont="1" applyFill="1" applyBorder="1" applyAlignment="1">
      <alignment vertical="center"/>
    </xf>
    <xf numFmtId="0" fontId="3" fillId="0" borderId="38" xfId="0" applyFont="1" applyBorder="1" applyAlignment="1">
      <alignment horizontal="right" vertical="center"/>
    </xf>
    <xf numFmtId="0" fontId="4" fillId="0" borderId="39" xfId="0" applyFont="1" applyBorder="1" applyAlignment="1">
      <alignment vertical="center"/>
    </xf>
    <xf numFmtId="166" fontId="0" fillId="0" borderId="29" xfId="1" applyFont="1" applyBorder="1" applyAlignment="1">
      <alignment horizontal="center" vertical="center"/>
    </xf>
    <xf numFmtId="179" fontId="3" fillId="2" borderId="9" xfId="1" applyNumberFormat="1" applyFont="1" applyFill="1" applyBorder="1" applyAlignment="1">
      <alignment vertical="center"/>
    </xf>
    <xf numFmtId="179" fontId="0" fillId="5" borderId="2" xfId="1" applyNumberFormat="1" applyFont="1" applyFill="1" applyBorder="1" applyAlignment="1">
      <alignment horizontal="right" vertical="center"/>
    </xf>
    <xf numFmtId="179" fontId="0" fillId="2" borderId="2" xfId="0" applyNumberFormat="1" applyFill="1" applyBorder="1" applyAlignment="1">
      <alignment horizontal="right" vertical="center"/>
    </xf>
    <xf numFmtId="0" fontId="0" fillId="0" borderId="17" xfId="0" applyBorder="1"/>
    <xf numFmtId="177" fontId="0" fillId="2" borderId="2" xfId="0" applyNumberFormat="1" applyFill="1" applyBorder="1" applyAlignment="1">
      <alignment horizontal="left" vertical="center"/>
    </xf>
    <xf numFmtId="180" fontId="0" fillId="2" borderId="96" xfId="1" applyNumberFormat="1" applyFont="1" applyFill="1" applyBorder="1" applyAlignment="1">
      <alignment vertical="center"/>
    </xf>
    <xf numFmtId="180" fontId="0" fillId="2" borderId="2" xfId="1" applyNumberFormat="1" applyFont="1" applyFill="1" applyBorder="1" applyAlignment="1">
      <alignment vertical="center"/>
    </xf>
    <xf numFmtId="180" fontId="0" fillId="2" borderId="95" xfId="1" applyNumberFormat="1" applyFont="1" applyFill="1" applyBorder="1" applyAlignment="1">
      <alignment vertical="center"/>
    </xf>
    <xf numFmtId="180" fontId="56" fillId="2" borderId="105" xfId="1" applyNumberFormat="1" applyFont="1" applyFill="1" applyBorder="1" applyAlignment="1" applyProtection="1">
      <alignment horizontal="right" vertical="center"/>
      <protection locked="0"/>
    </xf>
    <xf numFmtId="180" fontId="56" fillId="2" borderId="9" xfId="1" applyNumberFormat="1" applyFont="1" applyFill="1" applyBorder="1" applyAlignment="1" applyProtection="1">
      <alignment horizontal="right" vertical="center"/>
      <protection locked="0"/>
    </xf>
    <xf numFmtId="180" fontId="0" fillId="2" borderId="3" xfId="1" applyNumberFormat="1" applyFont="1" applyFill="1" applyBorder="1" applyAlignment="1">
      <alignment vertical="center"/>
    </xf>
    <xf numFmtId="180" fontId="8" fillId="2" borderId="96" xfId="1" applyNumberFormat="1" applyFont="1" applyFill="1" applyBorder="1" applyAlignment="1">
      <alignment horizontal="center" vertical="center"/>
    </xf>
    <xf numFmtId="180" fontId="3" fillId="2" borderId="96" xfId="1" applyNumberFormat="1" applyFont="1" applyFill="1" applyBorder="1" applyAlignment="1">
      <alignment vertical="center"/>
    </xf>
    <xf numFmtId="180" fontId="3" fillId="2" borderId="2" xfId="1" applyNumberFormat="1" applyFont="1" applyFill="1" applyBorder="1" applyAlignment="1">
      <alignment vertical="center"/>
    </xf>
    <xf numFmtId="0" fontId="8" fillId="2" borderId="23" xfId="0" applyFont="1" applyFill="1" applyBorder="1" applyAlignment="1">
      <alignment horizontal="center" vertical="center" wrapText="1"/>
    </xf>
    <xf numFmtId="0" fontId="8" fillId="2" borderId="52" xfId="1"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166" fontId="8" fillId="2" borderId="15" xfId="1" applyFont="1" applyFill="1" applyBorder="1" applyAlignment="1">
      <alignment horizontal="center" vertical="center" wrapText="1"/>
    </xf>
    <xf numFmtId="171" fontId="8" fillId="2" borderId="23" xfId="1" applyNumberFormat="1" applyFont="1" applyFill="1" applyBorder="1" applyAlignment="1">
      <alignment horizontal="center" vertical="center" wrapText="1"/>
    </xf>
    <xf numFmtId="0" fontId="7" fillId="2" borderId="23" xfId="1" applyNumberFormat="1" applyFont="1" applyFill="1" applyBorder="1" applyAlignment="1">
      <alignment horizontal="center" vertical="center"/>
    </xf>
    <xf numFmtId="0" fontId="7" fillId="2" borderId="2" xfId="1" applyNumberFormat="1" applyFont="1" applyFill="1" applyBorder="1" applyAlignment="1">
      <alignment horizontal="center" vertical="center"/>
    </xf>
    <xf numFmtId="0" fontId="7" fillId="2" borderId="17" xfId="1" applyNumberFormat="1" applyFont="1" applyFill="1" applyBorder="1" applyAlignment="1">
      <alignment horizontal="center" vertical="center"/>
    </xf>
    <xf numFmtId="0" fontId="7" fillId="2" borderId="23" xfId="1" applyNumberFormat="1" applyFont="1" applyFill="1" applyBorder="1" applyAlignment="1">
      <alignment vertical="center"/>
    </xf>
    <xf numFmtId="0" fontId="7" fillId="2" borderId="52" xfId="1" applyNumberFormat="1" applyFont="1" applyFill="1" applyBorder="1" applyAlignment="1">
      <alignment vertical="center"/>
    </xf>
    <xf numFmtId="0" fontId="8" fillId="2" borderId="76" xfId="1" applyNumberFormat="1" applyFont="1" applyFill="1" applyBorder="1" applyAlignment="1">
      <alignment horizontal="center" vertical="center"/>
    </xf>
    <xf numFmtId="0" fontId="8" fillId="2" borderId="64" xfId="1" applyNumberFormat="1" applyFont="1" applyFill="1" applyBorder="1" applyAlignment="1">
      <alignment horizontal="center" vertical="center"/>
    </xf>
    <xf numFmtId="0" fontId="7" fillId="2" borderId="113" xfId="1" applyNumberFormat="1" applyFont="1" applyFill="1" applyBorder="1" applyAlignment="1">
      <alignment horizontal="center" vertical="center"/>
    </xf>
    <xf numFmtId="0" fontId="7" fillId="2" borderId="98" xfId="1" applyNumberFormat="1" applyFont="1" applyFill="1" applyBorder="1" applyAlignment="1">
      <alignment horizontal="center" vertical="center"/>
    </xf>
    <xf numFmtId="0" fontId="8" fillId="2" borderId="67" xfId="1" applyNumberFormat="1" applyFont="1" applyFill="1" applyBorder="1" applyAlignment="1">
      <alignment horizontal="center" vertical="center"/>
    </xf>
    <xf numFmtId="0" fontId="8" fillId="2" borderId="13" xfId="1" applyNumberFormat="1" applyFont="1" applyFill="1" applyBorder="1" applyAlignment="1">
      <alignment horizontal="center" vertical="center"/>
    </xf>
    <xf numFmtId="0" fontId="8" fillId="2" borderId="23" xfId="1" applyNumberFormat="1" applyFont="1" applyFill="1" applyBorder="1" applyAlignment="1">
      <alignment horizontal="center" vertical="center"/>
    </xf>
    <xf numFmtId="0" fontId="8" fillId="2" borderId="45" xfId="1" applyNumberFormat="1" applyFont="1" applyFill="1" applyBorder="1" applyAlignment="1">
      <alignment horizontal="center" vertical="center"/>
    </xf>
    <xf numFmtId="0" fontId="8" fillId="2" borderId="9" xfId="1" applyNumberFormat="1" applyFont="1" applyFill="1" applyBorder="1" applyAlignment="1">
      <alignment horizontal="center" vertical="center"/>
    </xf>
    <xf numFmtId="182" fontId="0" fillId="2" borderId="2" xfId="1" applyNumberFormat="1" applyFont="1" applyFill="1" applyBorder="1" applyAlignment="1">
      <alignment horizontal="right" vertical="center"/>
    </xf>
    <xf numFmtId="175" fontId="0" fillId="19" borderId="17" xfId="2" applyNumberFormat="1" applyFont="1" applyFill="1" applyBorder="1" applyAlignment="1">
      <alignment horizontal="center" vertical="center"/>
    </xf>
    <xf numFmtId="168" fontId="0" fillId="19" borderId="20" xfId="1" applyNumberFormat="1" applyFont="1" applyFill="1" applyBorder="1" applyAlignment="1">
      <alignment vertical="center"/>
    </xf>
    <xf numFmtId="168" fontId="0" fillId="19" borderId="17" xfId="1" applyNumberFormat="1" applyFont="1" applyFill="1" applyBorder="1" applyAlignment="1">
      <alignment vertical="center"/>
    </xf>
    <xf numFmtId="175" fontId="0" fillId="2" borderId="17" xfId="2" applyNumberFormat="1" applyFont="1" applyFill="1" applyBorder="1" applyAlignment="1">
      <alignment horizontal="center" vertical="center"/>
    </xf>
    <xf numFmtId="168" fontId="0" fillId="2" borderId="115" xfId="1" applyNumberFormat="1" applyFont="1" applyFill="1" applyBorder="1" applyAlignment="1">
      <alignment vertical="center"/>
    </xf>
    <xf numFmtId="168" fontId="0" fillId="2" borderId="20" xfId="1" applyNumberFormat="1" applyFont="1" applyFill="1" applyBorder="1" applyAlignment="1">
      <alignment vertical="center"/>
    </xf>
    <xf numFmtId="168" fontId="0" fillId="2" borderId="17" xfId="1" applyNumberFormat="1" applyFont="1" applyFill="1" applyBorder="1" applyAlignment="1">
      <alignment vertical="center"/>
    </xf>
    <xf numFmtId="175" fontId="0" fillId="2" borderId="2" xfId="2" applyNumberFormat="1" applyFont="1" applyFill="1" applyBorder="1" applyAlignment="1">
      <alignment horizontal="center" vertical="center"/>
    </xf>
    <xf numFmtId="171" fontId="3" fillId="0" borderId="30" xfId="1" applyNumberFormat="1" applyFont="1" applyBorder="1" applyAlignment="1">
      <alignment horizontal="center" vertical="center"/>
    </xf>
    <xf numFmtId="175" fontId="0" fillId="2" borderId="82" xfId="2" applyNumberFormat="1" applyFont="1" applyFill="1" applyBorder="1" applyAlignment="1">
      <alignment horizontal="center" vertical="center"/>
    </xf>
    <xf numFmtId="168" fontId="0" fillId="2" borderId="90" xfId="1" applyNumberFormat="1" applyFont="1" applyFill="1" applyBorder="1" applyAlignment="1">
      <alignment vertical="center"/>
    </xf>
    <xf numFmtId="168" fontId="0" fillId="2" borderId="82" xfId="1" applyNumberFormat="1" applyFont="1" applyFill="1" applyBorder="1" applyAlignment="1">
      <alignment vertical="center"/>
    </xf>
    <xf numFmtId="175" fontId="0" fillId="2" borderId="57" xfId="2" applyNumberFormat="1" applyFont="1" applyFill="1" applyBorder="1" applyAlignment="1">
      <alignment horizontal="center" vertical="center"/>
    </xf>
    <xf numFmtId="168" fontId="0" fillId="2" borderId="91" xfId="1" applyNumberFormat="1" applyFont="1" applyFill="1" applyBorder="1" applyAlignment="1">
      <alignment vertical="center"/>
    </xf>
    <xf numFmtId="168" fontId="0" fillId="2" borderId="57" xfId="1" applyNumberFormat="1" applyFont="1" applyFill="1" applyBorder="1" applyAlignment="1">
      <alignment vertical="center"/>
    </xf>
    <xf numFmtId="171" fontId="3" fillId="4" borderId="2" xfId="1" applyNumberFormat="1" applyFont="1" applyFill="1" applyBorder="1" applyAlignment="1">
      <alignment horizontal="right" vertical="center"/>
    </xf>
    <xf numFmtId="171" fontId="0" fillId="2" borderId="2" xfId="0" applyNumberFormat="1" applyFill="1" applyBorder="1" applyAlignment="1">
      <alignment vertical="center"/>
    </xf>
    <xf numFmtId="171" fontId="0" fillId="0" borderId="2" xfId="0" applyNumberFormat="1" applyBorder="1" applyAlignment="1">
      <alignment vertical="center"/>
    </xf>
    <xf numFmtId="171" fontId="0" fillId="0" borderId="17" xfId="0" applyNumberFormat="1" applyBorder="1" applyAlignment="1">
      <alignment vertical="center"/>
    </xf>
    <xf numFmtId="171" fontId="0" fillId="0" borderId="7" xfId="0" applyNumberFormat="1" applyBorder="1" applyAlignment="1">
      <alignment vertical="center"/>
    </xf>
    <xf numFmtId="171" fontId="3" fillId="0" borderId="2" xfId="0" applyNumberFormat="1" applyFont="1" applyBorder="1" applyAlignment="1">
      <alignment vertical="center"/>
    </xf>
    <xf numFmtId="171" fontId="3" fillId="4" borderId="2" xfId="0" applyNumberFormat="1" applyFont="1" applyFill="1" applyBorder="1" applyAlignment="1">
      <alignment vertical="center"/>
    </xf>
    <xf numFmtId="171" fontId="3" fillId="2" borderId="9" xfId="0" applyNumberFormat="1" applyFont="1" applyFill="1" applyBorder="1" applyAlignment="1">
      <alignment vertical="center"/>
    </xf>
    <xf numFmtId="171" fontId="3" fillId="0" borderId="9" xfId="0" applyNumberFormat="1" applyFont="1" applyBorder="1" applyAlignment="1">
      <alignment vertical="center"/>
    </xf>
    <xf numFmtId="0" fontId="0" fillId="7" borderId="2" xfId="0" applyFill="1" applyBorder="1"/>
    <xf numFmtId="0" fontId="0" fillId="7" borderId="2" xfId="0" applyFill="1" applyBorder="1" applyAlignment="1">
      <alignment vertical="center"/>
    </xf>
    <xf numFmtId="171" fontId="16" fillId="7" borderId="2" xfId="1" applyNumberFormat="1" applyFont="1" applyFill="1" applyBorder="1" applyAlignment="1">
      <alignment vertical="center"/>
    </xf>
    <xf numFmtId="171" fontId="16" fillId="7" borderId="2" xfId="1" applyNumberFormat="1" applyFont="1" applyFill="1" applyBorder="1" applyAlignment="1">
      <alignment horizontal="right" vertical="center"/>
    </xf>
    <xf numFmtId="180" fontId="3" fillId="2" borderId="2" xfId="1" applyNumberFormat="1" applyFont="1" applyFill="1" applyBorder="1" applyAlignment="1">
      <alignment horizontal="center" vertical="center"/>
    </xf>
    <xf numFmtId="180" fontId="3" fillId="2" borderId="96" xfId="1" applyNumberFormat="1" applyFont="1" applyFill="1" applyBorder="1" applyAlignment="1">
      <alignment horizontal="center" vertical="center"/>
    </xf>
    <xf numFmtId="180" fontId="8" fillId="2" borderId="2" xfId="1" applyNumberFormat="1" applyFont="1" applyFill="1" applyBorder="1" applyAlignment="1">
      <alignment horizontal="center" vertical="center"/>
    </xf>
    <xf numFmtId="180" fontId="0" fillId="2" borderId="96" xfId="1" applyNumberFormat="1" applyFont="1" applyFill="1" applyBorder="1" applyAlignment="1">
      <alignment horizontal="center" vertical="center"/>
    </xf>
    <xf numFmtId="164" fontId="0" fillId="0" borderId="17" xfId="0" applyNumberFormat="1" applyBorder="1" applyAlignment="1">
      <alignment horizontal="center" vertical="center"/>
    </xf>
    <xf numFmtId="164" fontId="0" fillId="0" borderId="7" xfId="0" applyNumberFormat="1" applyBorder="1" applyAlignment="1">
      <alignment horizontal="center" vertical="center"/>
    </xf>
    <xf numFmtId="164" fontId="0" fillId="0" borderId="13" xfId="0" applyNumberFormat="1" applyBorder="1" applyAlignment="1">
      <alignment horizontal="center" vertical="center"/>
    </xf>
    <xf numFmtId="166" fontId="3" fillId="10" borderId="17" xfId="1" applyFont="1" applyFill="1" applyBorder="1" applyAlignment="1">
      <alignment vertical="center"/>
    </xf>
    <xf numFmtId="171" fontId="8" fillId="2" borderId="17" xfId="1" applyNumberFormat="1" applyFont="1" applyFill="1" applyBorder="1" applyAlignment="1">
      <alignment horizontal="center" vertical="center" wrapText="1"/>
    </xf>
    <xf numFmtId="171" fontId="8" fillId="2" borderId="69" xfId="1" applyNumberFormat="1" applyFont="1" applyFill="1" applyBorder="1" applyAlignment="1">
      <alignment horizontal="center" vertical="center" wrapText="1"/>
    </xf>
    <xf numFmtId="0" fontId="7" fillId="2" borderId="52" xfId="1" applyNumberFormat="1" applyFont="1" applyFill="1" applyBorder="1" applyAlignment="1">
      <alignment horizontal="center" vertical="center"/>
    </xf>
    <xf numFmtId="169" fontId="3" fillId="2" borderId="12" xfId="0" applyNumberFormat="1" applyFont="1" applyFill="1" applyBorder="1" applyAlignment="1">
      <alignment horizontal="right" vertical="center"/>
    </xf>
    <xf numFmtId="169" fontId="3" fillId="2" borderId="0" xfId="0" applyNumberFormat="1" applyFont="1" applyFill="1" applyAlignment="1">
      <alignment horizontal="right" vertical="center"/>
    </xf>
    <xf numFmtId="171" fontId="16" fillId="2" borderId="2" xfId="1" applyNumberFormat="1" applyFont="1" applyFill="1" applyBorder="1" applyAlignment="1">
      <alignment horizontal="center" vertical="center" wrapText="1"/>
    </xf>
    <xf numFmtId="172" fontId="3" fillId="2" borderId="2" xfId="0" quotePrefix="1" applyNumberFormat="1" applyFont="1" applyFill="1" applyBorder="1" applyAlignment="1">
      <alignment horizontal="center" vertical="center"/>
    </xf>
    <xf numFmtId="181" fontId="16" fillId="0" borderId="2" xfId="1" applyNumberFormat="1" applyFont="1" applyBorder="1" applyAlignment="1">
      <alignment horizontal="right" vertical="center"/>
    </xf>
    <xf numFmtId="179" fontId="4" fillId="2" borderId="2" xfId="1" applyNumberFormat="1" applyFont="1" applyFill="1" applyBorder="1" applyAlignment="1">
      <alignment vertical="center"/>
    </xf>
    <xf numFmtId="0" fontId="8" fillId="0" borderId="2" xfId="0" applyFont="1" applyBorder="1" applyAlignment="1">
      <alignment horizontal="center" vertical="center"/>
    </xf>
    <xf numFmtId="180" fontId="7" fillId="2" borderId="2" xfId="1" applyNumberFormat="1" applyFont="1" applyFill="1" applyBorder="1" applyAlignment="1">
      <alignment horizontal="right" vertical="center"/>
    </xf>
    <xf numFmtId="180" fontId="0" fillId="2" borderId="4" xfId="1" applyNumberFormat="1" applyFont="1" applyFill="1" applyBorder="1" applyAlignment="1">
      <alignment vertical="center"/>
    </xf>
    <xf numFmtId="180" fontId="55" fillId="2" borderId="111" xfId="1" applyNumberFormat="1" applyFont="1" applyFill="1" applyBorder="1" applyAlignment="1" applyProtection="1">
      <alignment horizontal="right" vertical="center"/>
      <protection locked="0"/>
    </xf>
    <xf numFmtId="182" fontId="3" fillId="2" borderId="9" xfId="1" applyNumberFormat="1" applyFont="1" applyFill="1" applyBorder="1" applyAlignment="1">
      <alignment horizontal="right" vertical="center"/>
    </xf>
    <xf numFmtId="179" fontId="16" fillId="2" borderId="2" xfId="1" applyNumberFormat="1" applyFont="1" applyFill="1" applyBorder="1" applyAlignment="1">
      <alignment horizontal="right" vertical="center"/>
    </xf>
    <xf numFmtId="17" fontId="3" fillId="15" borderId="2" xfId="1" applyNumberFormat="1" applyFont="1" applyFill="1" applyBorder="1" applyAlignment="1">
      <alignment horizontal="center" vertical="center" wrapText="1"/>
    </xf>
    <xf numFmtId="0" fontId="3" fillId="15" borderId="2" xfId="1" applyNumberFormat="1" applyFont="1" applyFill="1" applyBorder="1" applyAlignment="1">
      <alignment horizontal="center" vertical="center"/>
    </xf>
    <xf numFmtId="0" fontId="8" fillId="2" borderId="2" xfId="1" applyNumberFormat="1" applyFont="1" applyFill="1" applyBorder="1" applyAlignment="1">
      <alignment horizontal="center" vertical="center"/>
    </xf>
    <xf numFmtId="168" fontId="8" fillId="10" borderId="9" xfId="4" applyNumberFormat="1" applyFont="1" applyFill="1" applyBorder="1" applyAlignment="1">
      <alignment vertical="center"/>
    </xf>
    <xf numFmtId="164" fontId="8" fillId="10" borderId="2" xfId="4" applyNumberFormat="1" applyFont="1" applyFill="1" applyBorder="1" applyAlignment="1">
      <alignment vertical="center"/>
    </xf>
    <xf numFmtId="0" fontId="6" fillId="0" borderId="2" xfId="0" applyFont="1" applyBorder="1" applyAlignment="1">
      <alignment vertical="center"/>
    </xf>
    <xf numFmtId="179" fontId="16" fillId="2" borderId="9" xfId="1" applyNumberFormat="1" applyFont="1" applyFill="1" applyBorder="1" applyAlignment="1">
      <alignment horizontal="right" vertical="center"/>
    </xf>
    <xf numFmtId="179" fontId="4" fillId="2" borderId="9" xfId="1" applyNumberFormat="1" applyFont="1" applyFill="1" applyBorder="1" applyAlignment="1">
      <alignment horizontal="right" vertical="center"/>
    </xf>
    <xf numFmtId="0" fontId="8" fillId="2" borderId="2" xfId="0" applyFont="1" applyFill="1" applyBorder="1" applyAlignment="1">
      <alignment horizontal="center" vertical="center" wrapText="1"/>
    </xf>
    <xf numFmtId="0" fontId="4" fillId="0" borderId="5" xfId="0" applyFont="1" applyBorder="1" applyAlignment="1">
      <alignment horizontal="center" vertical="center"/>
    </xf>
    <xf numFmtId="166" fontId="0" fillId="0" borderId="0" xfId="1" applyFont="1" applyBorder="1" applyAlignment="1">
      <alignment horizontal="center" vertical="center"/>
    </xf>
    <xf numFmtId="164" fontId="0" fillId="0" borderId="0" xfId="1" applyNumberFormat="1" applyFont="1" applyBorder="1" applyAlignment="1">
      <alignment vertical="center"/>
    </xf>
    <xf numFmtId="0" fontId="0" fillId="2" borderId="6" xfId="0" applyFill="1" applyBorder="1" applyAlignment="1">
      <alignment vertical="center" wrapText="1"/>
    </xf>
    <xf numFmtId="164" fontId="3" fillId="0" borderId="0" xfId="0" applyNumberFormat="1" applyFont="1" applyAlignment="1">
      <alignment vertical="center"/>
    </xf>
    <xf numFmtId="164" fontId="0" fillId="0" borderId="8" xfId="0" applyNumberFormat="1" applyBorder="1" applyAlignment="1">
      <alignment vertical="center"/>
    </xf>
    <xf numFmtId="0" fontId="0" fillId="0" borderId="20" xfId="0" applyBorder="1" applyAlignment="1">
      <alignment vertical="center"/>
    </xf>
    <xf numFmtId="164" fontId="0" fillId="0" borderId="20" xfId="1" applyNumberFormat="1" applyFont="1" applyBorder="1" applyAlignment="1">
      <alignment vertical="center"/>
    </xf>
    <xf numFmtId="0" fontId="3" fillId="2" borderId="1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0" fillId="2" borderId="23" xfId="1" applyNumberFormat="1" applyFont="1" applyFill="1" applyBorder="1" applyAlignment="1">
      <alignment vertical="center"/>
    </xf>
    <xf numFmtId="164" fontId="0" fillId="2" borderId="3" xfId="1" applyNumberFormat="1" applyFont="1" applyFill="1" applyBorder="1" applyAlignment="1">
      <alignment vertical="center"/>
    </xf>
    <xf numFmtId="164" fontId="0" fillId="2" borderId="23" xfId="1" applyNumberFormat="1" applyFont="1" applyFill="1" applyBorder="1" applyAlignment="1">
      <alignment vertical="center"/>
    </xf>
    <xf numFmtId="0" fontId="3" fillId="2" borderId="45" xfId="1" applyNumberFormat="1" applyFont="1" applyFill="1" applyBorder="1" applyAlignment="1">
      <alignment vertical="center"/>
    </xf>
    <xf numFmtId="164" fontId="3" fillId="2" borderId="10" xfId="1" applyNumberFormat="1" applyFont="1" applyFill="1" applyBorder="1" applyAlignment="1">
      <alignment vertical="center"/>
    </xf>
    <xf numFmtId="164" fontId="3" fillId="2" borderId="46" xfId="1" applyNumberFormat="1" applyFont="1" applyFill="1" applyBorder="1" applyAlignment="1">
      <alignment horizontal="right" vertical="center"/>
    </xf>
    <xf numFmtId="164" fontId="3" fillId="2" borderId="11" xfId="1" applyNumberFormat="1" applyFont="1" applyFill="1" applyBorder="1" applyAlignment="1">
      <alignment horizontal="right" vertical="center"/>
    </xf>
    <xf numFmtId="0" fontId="3" fillId="0" borderId="2" xfId="0" applyFont="1" applyBorder="1" applyAlignment="1">
      <alignment horizontal="center"/>
    </xf>
    <xf numFmtId="0" fontId="4" fillId="2" borderId="13"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18" xfId="1" applyNumberFormat="1" applyFont="1" applyFill="1" applyBorder="1" applyAlignment="1">
      <alignment horizontal="center" vertical="center" wrapText="1"/>
    </xf>
    <xf numFmtId="0" fontId="7" fillId="2" borderId="18" xfId="1" applyNumberFormat="1" applyFont="1" applyFill="1" applyBorder="1" applyAlignment="1">
      <alignment horizontal="center" vertical="center"/>
    </xf>
    <xf numFmtId="0" fontId="7" fillId="2" borderId="0" xfId="1" applyNumberFormat="1" applyFont="1" applyFill="1" applyBorder="1" applyAlignment="1">
      <alignment horizontal="center" vertical="center"/>
    </xf>
    <xf numFmtId="0" fontId="8" fillId="2" borderId="122" xfId="1" applyNumberFormat="1" applyFont="1" applyFill="1" applyBorder="1" applyAlignment="1">
      <alignment horizontal="center" vertical="center"/>
    </xf>
    <xf numFmtId="0" fontId="7" fillId="2" borderId="4" xfId="1" applyNumberFormat="1" applyFont="1" applyFill="1" applyBorder="1" applyAlignment="1">
      <alignment horizontal="center" vertical="center"/>
    </xf>
    <xf numFmtId="0" fontId="7" fillId="2" borderId="123" xfId="1" applyNumberFormat="1" applyFont="1" applyFill="1" applyBorder="1" applyAlignment="1">
      <alignment horizontal="center" vertical="center"/>
    </xf>
    <xf numFmtId="0" fontId="8" fillId="2" borderId="1" xfId="1" applyNumberFormat="1" applyFont="1" applyFill="1" applyBorder="1" applyAlignment="1">
      <alignment horizontal="center" vertical="center"/>
    </xf>
    <xf numFmtId="0" fontId="8" fillId="2" borderId="11" xfId="1" applyNumberFormat="1" applyFont="1" applyFill="1" applyBorder="1" applyAlignment="1">
      <alignment horizontal="center" vertical="center"/>
    </xf>
    <xf numFmtId="0" fontId="7" fillId="2" borderId="42" xfId="1" applyNumberFormat="1" applyFont="1" applyFill="1" applyBorder="1" applyAlignment="1">
      <alignment horizontal="center" vertical="center"/>
    </xf>
    <xf numFmtId="0" fontId="7" fillId="8" borderId="42" xfId="1" applyNumberFormat="1" applyFont="1" applyFill="1" applyBorder="1" applyAlignment="1">
      <alignment horizontal="center" vertical="center"/>
    </xf>
    <xf numFmtId="0" fontId="7" fillId="6" borderId="42" xfId="1" applyNumberFormat="1" applyFont="1" applyFill="1" applyBorder="1" applyAlignment="1">
      <alignment horizontal="center" vertical="center"/>
    </xf>
    <xf numFmtId="0" fontId="7" fillId="2" borderId="124" xfId="1" applyNumberFormat="1" applyFont="1" applyFill="1" applyBorder="1" applyAlignment="1">
      <alignment horizontal="center" vertical="center"/>
    </xf>
    <xf numFmtId="171" fontId="3" fillId="15" borderId="17" xfId="1" applyNumberFormat="1" applyFont="1" applyFill="1" applyBorder="1" applyAlignment="1">
      <alignment horizontal="center" vertical="center"/>
    </xf>
    <xf numFmtId="0" fontId="3" fillId="0" borderId="2" xfId="0" applyFont="1" applyBorder="1"/>
    <xf numFmtId="164" fontId="8" fillId="10" borderId="45" xfId="4" applyNumberFormat="1" applyFont="1" applyFill="1" applyBorder="1" applyAlignment="1">
      <alignment horizontal="right" vertical="center"/>
    </xf>
    <xf numFmtId="0" fontId="21" fillId="2" borderId="2" xfId="0" applyFont="1" applyFill="1" applyBorder="1" applyAlignment="1">
      <alignment horizontal="center" vertical="center"/>
    </xf>
    <xf numFmtId="179" fontId="0" fillId="2" borderId="17" xfId="1" applyNumberFormat="1" applyFont="1" applyFill="1" applyBorder="1" applyAlignment="1">
      <alignment horizontal="right" vertical="center"/>
    </xf>
    <xf numFmtId="179" fontId="0" fillId="2" borderId="2" xfId="1" applyNumberFormat="1" applyFont="1" applyFill="1" applyBorder="1" applyAlignment="1">
      <alignment horizontal="right" vertical="center"/>
    </xf>
    <xf numFmtId="0" fontId="2" fillId="2" borderId="2" xfId="1" applyNumberFormat="1" applyFont="1" applyFill="1" applyBorder="1" applyAlignment="1">
      <alignment horizontal="center" vertical="center" wrapText="1"/>
    </xf>
    <xf numFmtId="180" fontId="3" fillId="2" borderId="9" xfId="1" applyNumberFormat="1" applyFont="1" applyFill="1" applyBorder="1" applyAlignment="1">
      <alignment horizontal="right" vertical="center"/>
    </xf>
    <xf numFmtId="180" fontId="8" fillId="10" borderId="9" xfId="4" applyNumberFormat="1" applyFont="1" applyFill="1" applyBorder="1" applyAlignment="1">
      <alignment vertical="center"/>
    </xf>
    <xf numFmtId="180" fontId="0" fillId="0" borderId="2" xfId="0" applyNumberFormat="1" applyBorder="1" applyAlignment="1">
      <alignment horizontal="right" vertical="center"/>
    </xf>
    <xf numFmtId="0" fontId="7" fillId="0" borderId="0" xfId="0" applyFont="1"/>
    <xf numFmtId="177" fontId="0" fillId="0" borderId="9" xfId="0" applyNumberFormat="1" applyBorder="1" applyAlignment="1">
      <alignment horizontal="right" vertical="center"/>
    </xf>
    <xf numFmtId="177" fontId="3" fillId="2" borderId="2" xfId="1" applyNumberFormat="1" applyFont="1" applyFill="1" applyBorder="1" applyAlignment="1">
      <alignment horizontal="center" vertical="center" wrapText="1"/>
    </xf>
    <xf numFmtId="177" fontId="3" fillId="0" borderId="9" xfId="0" applyNumberFormat="1" applyFont="1" applyBorder="1" applyAlignment="1">
      <alignment horizontal="right" vertical="center"/>
    </xf>
    <xf numFmtId="180" fontId="3" fillId="2" borderId="2" xfId="1" applyNumberFormat="1" applyFont="1" applyFill="1" applyBorder="1" applyAlignment="1">
      <alignment horizontal="center" vertical="center" wrapText="1"/>
    </xf>
    <xf numFmtId="180" fontId="3" fillId="0" borderId="9" xfId="0" applyNumberFormat="1" applyFont="1" applyBorder="1" applyAlignment="1">
      <alignment horizontal="right" vertical="center"/>
    </xf>
    <xf numFmtId="180" fontId="3" fillId="0" borderId="9" xfId="1" applyNumberFormat="1" applyFont="1" applyBorder="1" applyAlignment="1">
      <alignment horizontal="right" vertical="center"/>
    </xf>
    <xf numFmtId="180" fontId="3" fillId="2" borderId="2" xfId="1" applyNumberFormat="1" applyFont="1" applyFill="1" applyBorder="1" applyAlignment="1">
      <alignment horizontal="right" vertical="center" wrapText="1"/>
    </xf>
    <xf numFmtId="177" fontId="0" fillId="2" borderId="2" xfId="1" applyNumberFormat="1" applyFont="1" applyFill="1" applyBorder="1" applyAlignment="1">
      <alignment horizontal="right" vertical="center"/>
    </xf>
    <xf numFmtId="180" fontId="0" fillId="2" borderId="2" xfId="0" applyNumberFormat="1" applyFill="1" applyBorder="1" applyAlignment="1">
      <alignment horizontal="right" vertical="center"/>
    </xf>
    <xf numFmtId="180" fontId="3" fillId="2" borderId="2" xfId="1" applyNumberFormat="1" applyFont="1" applyFill="1" applyBorder="1" applyAlignment="1">
      <alignment horizontal="right" vertical="center"/>
    </xf>
    <xf numFmtId="171" fontId="16" fillId="2" borderId="15" xfId="1" applyNumberFormat="1" applyFont="1" applyFill="1" applyBorder="1" applyAlignment="1">
      <alignment horizontal="right" vertical="center"/>
    </xf>
    <xf numFmtId="180" fontId="3" fillId="2" borderId="10" xfId="1" applyNumberFormat="1" applyFont="1" applyFill="1" applyBorder="1" applyAlignment="1">
      <alignment horizontal="center" vertical="center"/>
    </xf>
    <xf numFmtId="180" fontId="0" fillId="2" borderId="45" xfId="3" applyNumberFormat="1" applyFont="1" applyFill="1" applyBorder="1" applyAlignment="1">
      <alignment horizontal="center" vertical="center"/>
    </xf>
    <xf numFmtId="164" fontId="3" fillId="2" borderId="9" xfId="0" applyNumberFormat="1" applyFont="1" applyFill="1" applyBorder="1" applyAlignment="1">
      <alignment horizontal="right" vertical="center"/>
    </xf>
    <xf numFmtId="165" fontId="3" fillId="0" borderId="2" xfId="0" applyNumberFormat="1" applyFont="1" applyBorder="1" applyAlignment="1">
      <alignment vertical="center"/>
    </xf>
    <xf numFmtId="0" fontId="0" fillId="0" borderId="13" xfId="0" applyBorder="1"/>
    <xf numFmtId="179" fontId="8" fillId="2" borderId="2" xfId="1" applyNumberFormat="1" applyFont="1" applyFill="1" applyBorder="1" applyAlignment="1">
      <alignment vertical="center"/>
    </xf>
    <xf numFmtId="179" fontId="7" fillId="2" borderId="44" xfId="1" applyNumberFormat="1" applyFont="1" applyFill="1" applyBorder="1" applyAlignment="1">
      <alignment vertical="center"/>
    </xf>
    <xf numFmtId="179" fontId="8" fillId="2" borderId="23" xfId="1" applyNumberFormat="1" applyFont="1" applyFill="1" applyBorder="1" applyAlignment="1">
      <alignment vertical="center"/>
    </xf>
    <xf numFmtId="179" fontId="7" fillId="2" borderId="3" xfId="1" applyNumberFormat="1" applyFont="1" applyFill="1" applyBorder="1" applyAlignment="1">
      <alignment horizontal="center" vertical="center"/>
    </xf>
    <xf numFmtId="179" fontId="7" fillId="2" borderId="17" xfId="1" applyNumberFormat="1" applyFont="1" applyFill="1" applyBorder="1" applyAlignment="1">
      <alignment vertical="center"/>
    </xf>
    <xf numFmtId="179" fontId="7" fillId="2" borderId="15" xfId="1" applyNumberFormat="1" applyFont="1" applyFill="1" applyBorder="1" applyAlignment="1">
      <alignment horizontal="center" vertical="center"/>
    </xf>
    <xf numFmtId="179" fontId="7" fillId="6" borderId="44" xfId="1" applyNumberFormat="1" applyFont="1" applyFill="1" applyBorder="1" applyAlignment="1">
      <alignment vertical="center"/>
    </xf>
    <xf numFmtId="179" fontId="8" fillId="2" borderId="113" xfId="1" applyNumberFormat="1" applyFont="1" applyFill="1" applyBorder="1" applyAlignment="1">
      <alignment vertical="center"/>
    </xf>
    <xf numFmtId="179" fontId="8" fillId="2" borderId="64" xfId="1" applyNumberFormat="1" applyFont="1" applyFill="1" applyBorder="1" applyAlignment="1">
      <alignment vertical="center"/>
    </xf>
    <xf numFmtId="179" fontId="8" fillId="2" borderId="75" xfId="1" applyNumberFormat="1" applyFont="1" applyFill="1" applyBorder="1" applyAlignment="1">
      <alignment horizontal="center" vertical="center"/>
    </xf>
    <xf numFmtId="179" fontId="8" fillId="2" borderId="107" xfId="1" applyNumberFormat="1" applyFont="1" applyFill="1" applyBorder="1" applyAlignment="1">
      <alignment vertical="center"/>
    </xf>
    <xf numFmtId="179" fontId="8" fillId="2" borderId="76" xfId="1" applyNumberFormat="1" applyFont="1" applyFill="1" applyBorder="1" applyAlignment="1">
      <alignment vertical="center"/>
    </xf>
    <xf numFmtId="179" fontId="7" fillId="2" borderId="23" xfId="1" applyNumberFormat="1" applyFont="1" applyFill="1" applyBorder="1" applyAlignment="1">
      <alignment vertical="center"/>
    </xf>
    <xf numFmtId="179" fontId="7" fillId="2" borderId="98" xfId="1" applyNumberFormat="1" applyFont="1" applyFill="1" applyBorder="1" applyAlignment="1">
      <alignment vertical="center"/>
    </xf>
    <xf numFmtId="179" fontId="7" fillId="2" borderId="101" xfId="1" applyNumberFormat="1" applyFont="1" applyFill="1" applyBorder="1" applyAlignment="1">
      <alignment horizontal="center" vertical="center"/>
    </xf>
    <xf numFmtId="179" fontId="7" fillId="2" borderId="117" xfId="1" applyNumberFormat="1" applyFont="1" applyFill="1" applyBorder="1" applyAlignment="1">
      <alignment vertical="center"/>
    </xf>
    <xf numFmtId="179" fontId="8" fillId="2" borderId="13" xfId="1" applyNumberFormat="1" applyFont="1" applyFill="1" applyBorder="1" applyAlignment="1">
      <alignment vertical="center"/>
    </xf>
    <xf numFmtId="179" fontId="8" fillId="2" borderId="14" xfId="1" applyNumberFormat="1" applyFont="1" applyFill="1" applyBorder="1" applyAlignment="1">
      <alignment horizontal="center" vertical="center"/>
    </xf>
    <xf numFmtId="179" fontId="8" fillId="2" borderId="68" xfId="1" applyNumberFormat="1" applyFont="1" applyFill="1" applyBorder="1" applyAlignment="1">
      <alignment vertical="center"/>
    </xf>
    <xf numFmtId="179" fontId="8" fillId="2" borderId="67" xfId="1" applyNumberFormat="1" applyFont="1" applyFill="1" applyBorder="1" applyAlignment="1">
      <alignment vertical="center"/>
    </xf>
    <xf numFmtId="179" fontId="8" fillId="2" borderId="9" xfId="1" applyNumberFormat="1" applyFont="1" applyFill="1" applyBorder="1" applyAlignment="1">
      <alignment vertical="center"/>
    </xf>
    <xf numFmtId="179" fontId="8" fillId="2" borderId="10" xfId="1" applyNumberFormat="1" applyFont="1" applyFill="1" applyBorder="1" applyAlignment="1">
      <alignment horizontal="center" vertical="center"/>
    </xf>
    <xf numFmtId="179" fontId="8" fillId="2" borderId="46" xfId="1" applyNumberFormat="1" applyFont="1" applyFill="1" applyBorder="1" applyAlignment="1">
      <alignment vertical="center"/>
    </xf>
    <xf numFmtId="179" fontId="4" fillId="0" borderId="2" xfId="0" applyNumberFormat="1" applyFont="1" applyBorder="1" applyAlignment="1">
      <alignment horizontal="right"/>
    </xf>
    <xf numFmtId="179" fontId="0" fillId="0" borderId="2" xfId="0" applyNumberFormat="1" applyBorder="1" applyAlignment="1">
      <alignment vertical="center"/>
    </xf>
    <xf numFmtId="179" fontId="0" fillId="0" borderId="2" xfId="0" applyNumberFormat="1" applyBorder="1" applyAlignment="1">
      <alignment vertical="center" wrapText="1"/>
    </xf>
    <xf numFmtId="179" fontId="0" fillId="0" borderId="17" xfId="0" applyNumberFormat="1" applyBorder="1" applyAlignment="1">
      <alignment vertical="center"/>
    </xf>
    <xf numFmtId="179" fontId="3" fillId="0" borderId="9" xfId="0" applyNumberFormat="1" applyFont="1" applyBorder="1" applyAlignment="1">
      <alignment vertical="center"/>
    </xf>
    <xf numFmtId="179" fontId="3" fillId="2" borderId="9" xfId="0" applyNumberFormat="1" applyFont="1" applyFill="1" applyBorder="1" applyAlignment="1">
      <alignment vertical="center"/>
    </xf>
    <xf numFmtId="179" fontId="0" fillId="0" borderId="2" xfId="1" applyNumberFormat="1" applyFont="1" applyBorder="1" applyAlignment="1">
      <alignment vertical="center"/>
    </xf>
    <xf numFmtId="179" fontId="0" fillId="0" borderId="17" xfId="1" applyNumberFormat="1" applyFont="1" applyBorder="1" applyAlignment="1">
      <alignment vertical="center"/>
    </xf>
    <xf numFmtId="179" fontId="3" fillId="0" borderId="9" xfId="1" applyNumberFormat="1" applyFont="1" applyBorder="1" applyAlignment="1">
      <alignment vertical="center"/>
    </xf>
    <xf numFmtId="179" fontId="4" fillId="0" borderId="9" xfId="1" applyNumberFormat="1" applyFont="1" applyBorder="1" applyAlignment="1">
      <alignment vertical="center"/>
    </xf>
    <xf numFmtId="179" fontId="4" fillId="2" borderId="9" xfId="1" applyNumberFormat="1" applyFont="1" applyFill="1" applyBorder="1" applyAlignment="1">
      <alignment vertical="center"/>
    </xf>
    <xf numFmtId="179" fontId="4" fillId="2" borderId="9" xfId="1" applyNumberFormat="1" applyFont="1" applyFill="1" applyBorder="1"/>
    <xf numFmtId="179" fontId="0" fillId="0" borderId="2" xfId="1" applyNumberFormat="1" applyFont="1" applyBorder="1" applyAlignment="1">
      <alignment vertical="center" wrapText="1"/>
    </xf>
    <xf numFmtId="179" fontId="3" fillId="0" borderId="9" xfId="1" applyNumberFormat="1" applyFont="1" applyBorder="1" applyAlignment="1">
      <alignment vertical="center" wrapText="1"/>
    </xf>
    <xf numFmtId="179" fontId="3" fillId="2" borderId="9" xfId="1" applyNumberFormat="1" applyFont="1" applyFill="1" applyBorder="1" applyAlignment="1">
      <alignment vertical="center" wrapText="1"/>
    </xf>
    <xf numFmtId="179" fontId="7" fillId="2" borderId="2" xfId="0" applyNumberFormat="1" applyFont="1" applyFill="1" applyBorder="1" applyAlignment="1">
      <alignment horizontal="right" vertical="center"/>
    </xf>
    <xf numFmtId="179" fontId="7" fillId="2" borderId="2" xfId="0" applyNumberFormat="1" applyFont="1" applyFill="1" applyBorder="1" applyAlignment="1">
      <alignment horizontal="center" vertical="center" textRotation="90" wrapText="1"/>
    </xf>
    <xf numFmtId="179" fontId="7" fillId="5" borderId="2" xfId="0" applyNumberFormat="1" applyFont="1" applyFill="1" applyBorder="1" applyAlignment="1">
      <alignment horizontal="right" vertical="center"/>
    </xf>
    <xf numFmtId="179" fontId="8" fillId="2" borderId="2" xfId="0" applyNumberFormat="1" applyFont="1" applyFill="1" applyBorder="1" applyAlignment="1">
      <alignment horizontal="right" vertical="center"/>
    </xf>
    <xf numFmtId="179" fontId="7" fillId="2" borderId="2" xfId="0" applyNumberFormat="1" applyFont="1" applyFill="1" applyBorder="1" applyAlignment="1">
      <alignment horizontal="right" vertical="center" textRotation="90" wrapText="1"/>
    </xf>
    <xf numFmtId="179" fontId="7" fillId="2" borderId="2" xfId="0" applyNumberFormat="1" applyFont="1" applyFill="1" applyBorder="1" applyAlignment="1">
      <alignment horizontal="center" vertical="center"/>
    </xf>
    <xf numFmtId="179" fontId="8" fillId="2" borderId="9" xfId="0" applyNumberFormat="1" applyFont="1" applyFill="1" applyBorder="1" applyAlignment="1">
      <alignment horizontal="right" vertical="center"/>
    </xf>
    <xf numFmtId="179" fontId="7" fillId="2" borderId="17" xfId="0" applyNumberFormat="1" applyFont="1" applyFill="1" applyBorder="1" applyAlignment="1">
      <alignment vertical="center"/>
    </xf>
    <xf numFmtId="179" fontId="8" fillId="2" borderId="9" xfId="0" applyNumberFormat="1" applyFont="1" applyFill="1" applyBorder="1" applyAlignment="1">
      <alignment vertical="center"/>
    </xf>
    <xf numFmtId="179" fontId="0" fillId="0" borderId="2" xfId="0" applyNumberFormat="1" applyBorder="1" applyAlignment="1">
      <alignment horizontal="right" vertical="center"/>
    </xf>
    <xf numFmtId="179" fontId="0" fillId="2" borderId="2" xfId="0" applyNumberFormat="1" applyFill="1" applyBorder="1" applyAlignment="1">
      <alignment vertical="center"/>
    </xf>
    <xf numFmtId="179" fontId="16" fillId="0" borderId="2" xfId="0" applyNumberFormat="1" applyFont="1" applyBorder="1" applyAlignment="1">
      <alignment vertical="center"/>
    </xf>
    <xf numFmtId="179" fontId="16" fillId="2" borderId="2" xfId="1" applyNumberFormat="1" applyFont="1" applyFill="1" applyBorder="1"/>
    <xf numFmtId="179" fontId="7" fillId="5" borderId="2" xfId="1" applyNumberFormat="1" applyFont="1" applyFill="1" applyBorder="1"/>
    <xf numFmtId="179" fontId="0" fillId="7" borderId="2" xfId="0" applyNumberFormat="1" applyFill="1" applyBorder="1" applyAlignment="1">
      <alignment horizontal="right" vertical="center"/>
    </xf>
    <xf numFmtId="179" fontId="16" fillId="7" borderId="2" xfId="1" applyNumberFormat="1" applyFont="1" applyFill="1" applyBorder="1"/>
    <xf numFmtId="179" fontId="16" fillId="5" borderId="2" xfId="1" applyNumberFormat="1" applyFont="1" applyFill="1" applyBorder="1"/>
    <xf numFmtId="179" fontId="3" fillId="2" borderId="9" xfId="0" applyNumberFormat="1" applyFont="1" applyFill="1" applyBorder="1" applyAlignment="1">
      <alignment horizontal="right" vertical="center"/>
    </xf>
    <xf numFmtId="179" fontId="9" fillId="0" borderId="2" xfId="0" applyNumberFormat="1" applyFont="1" applyBorder="1" applyAlignment="1">
      <alignment horizontal="right" vertical="center" wrapText="1"/>
    </xf>
    <xf numFmtId="179" fontId="9" fillId="0" borderId="2" xfId="0" applyNumberFormat="1" applyFont="1" applyBorder="1" applyAlignment="1">
      <alignment horizontal="left" vertical="center" wrapText="1"/>
    </xf>
    <xf numFmtId="179" fontId="28" fillId="0" borderId="2" xfId="0" applyNumberFormat="1" applyFont="1" applyBorder="1" applyAlignment="1">
      <alignment horizontal="right" vertical="center" wrapText="1"/>
    </xf>
    <xf numFmtId="179" fontId="10" fillId="0" borderId="9" xfId="0" applyNumberFormat="1" applyFont="1" applyBorder="1" applyAlignment="1">
      <alignment horizontal="right" vertical="center" wrapText="1"/>
    </xf>
    <xf numFmtId="179" fontId="16" fillId="2" borderId="2" xfId="1" applyNumberFormat="1" applyFont="1" applyFill="1" applyBorder="1" applyAlignment="1">
      <alignment vertical="center"/>
    </xf>
    <xf numFmtId="179" fontId="16" fillId="2" borderId="2" xfId="1" applyNumberFormat="1" applyFont="1" applyFill="1" applyBorder="1" applyAlignment="1">
      <alignment horizontal="center" vertical="center"/>
    </xf>
    <xf numFmtId="179" fontId="3" fillId="0" borderId="2" xfId="0" applyNumberFormat="1" applyFont="1" applyBorder="1" applyAlignment="1">
      <alignment vertical="center"/>
    </xf>
    <xf numFmtId="179" fontId="3" fillId="0" borderId="9" xfId="0" applyNumberFormat="1" applyFont="1" applyBorder="1" applyAlignment="1">
      <alignment horizontal="right" vertical="center"/>
    </xf>
    <xf numFmtId="179" fontId="0" fillId="2" borderId="17" xfId="0" applyNumberFormat="1" applyFill="1" applyBorder="1" applyAlignment="1">
      <alignment vertical="center"/>
    </xf>
    <xf numFmtId="179" fontId="0" fillId="5" borderId="2" xfId="0" applyNumberFormat="1" applyFill="1" applyBorder="1"/>
    <xf numFmtId="179" fontId="0" fillId="5" borderId="2" xfId="0" applyNumberFormat="1" applyFill="1" applyBorder="1" applyAlignment="1">
      <alignment vertical="center"/>
    </xf>
    <xf numFmtId="179" fontId="0" fillId="2" borderId="2" xfId="0" applyNumberFormat="1" applyFill="1" applyBorder="1"/>
    <xf numFmtId="179" fontId="4" fillId="2" borderId="2" xfId="0" applyNumberFormat="1" applyFont="1" applyFill="1" applyBorder="1" applyAlignment="1">
      <alignment vertical="center" wrapText="1"/>
    </xf>
    <xf numFmtId="179" fontId="3" fillId="0" borderId="17" xfId="0" applyNumberFormat="1" applyFont="1" applyBorder="1" applyAlignment="1">
      <alignment vertical="center"/>
    </xf>
    <xf numFmtId="179" fontId="0" fillId="0" borderId="2" xfId="1" applyNumberFormat="1" applyFont="1" applyBorder="1" applyAlignment="1">
      <alignment horizontal="right" vertical="center"/>
    </xf>
    <xf numFmtId="179" fontId="4" fillId="2" borderId="2" xfId="1" applyNumberFormat="1" applyFont="1" applyFill="1" applyBorder="1"/>
    <xf numFmtId="179" fontId="16" fillId="0" borderId="2" xfId="0" applyNumberFormat="1" applyFont="1" applyBorder="1"/>
    <xf numFmtId="179" fontId="0" fillId="0" borderId="2" xfId="0" applyNumberFormat="1" applyBorder="1" applyAlignment="1">
      <alignment horizontal="center"/>
    </xf>
    <xf numFmtId="179" fontId="4" fillId="0" borderId="2" xfId="0" applyNumberFormat="1" applyFont="1" applyBorder="1" applyAlignment="1">
      <alignment horizontal="center"/>
    </xf>
    <xf numFmtId="179" fontId="3" fillId="2" borderId="9" xfId="1" applyNumberFormat="1" applyFont="1" applyFill="1" applyBorder="1" applyAlignment="1">
      <alignment horizontal="right"/>
    </xf>
    <xf numFmtId="179" fontId="0" fillId="5" borderId="2" xfId="1" applyNumberFormat="1" applyFont="1" applyFill="1" applyBorder="1" applyAlignment="1">
      <alignment vertical="center"/>
    </xf>
    <xf numFmtId="179" fontId="8" fillId="10" borderId="9" xfId="4" applyNumberFormat="1" applyFont="1" applyFill="1" applyBorder="1" applyAlignment="1">
      <alignment vertical="center"/>
    </xf>
    <xf numFmtId="179" fontId="8" fillId="0" borderId="2" xfId="1" applyNumberFormat="1" applyFont="1" applyBorder="1" applyAlignment="1">
      <alignment horizontal="right"/>
    </xf>
    <xf numFmtId="179" fontId="8" fillId="2" borderId="2" xfId="1" applyNumberFormat="1" applyFont="1" applyFill="1" applyBorder="1" applyAlignment="1">
      <alignment horizontal="right"/>
    </xf>
    <xf numFmtId="179" fontId="8" fillId="0" borderId="2" xfId="0" applyNumberFormat="1" applyFont="1" applyBorder="1" applyAlignment="1">
      <alignment horizontal="right"/>
    </xf>
    <xf numFmtId="179" fontId="8" fillId="2" borderId="9" xfId="1" applyNumberFormat="1" applyFont="1" applyFill="1" applyBorder="1" applyAlignment="1">
      <alignment horizontal="right"/>
    </xf>
    <xf numFmtId="179" fontId="8" fillId="10" borderId="9" xfId="4" applyNumberFormat="1" applyFont="1" applyFill="1" applyBorder="1" applyAlignment="1">
      <alignment horizontal="right"/>
    </xf>
    <xf numFmtId="179" fontId="8" fillId="10" borderId="9" xfId="4" applyNumberFormat="1" applyFont="1" applyFill="1" applyBorder="1" applyAlignment="1">
      <alignment vertical="center" wrapText="1"/>
    </xf>
    <xf numFmtId="179" fontId="8" fillId="10" borderId="9" xfId="4" applyNumberFormat="1" applyFont="1" applyFill="1" applyBorder="1" applyAlignment="1">
      <alignment horizontal="right" vertical="center"/>
    </xf>
    <xf numFmtId="180" fontId="8" fillId="10" borderId="9" xfId="4" applyNumberFormat="1" applyFont="1" applyFill="1" applyBorder="1" applyAlignment="1">
      <alignment horizontal="right" vertical="center"/>
    </xf>
    <xf numFmtId="179" fontId="8" fillId="10" borderId="2" xfId="4" applyNumberFormat="1" applyFont="1" applyFill="1" applyBorder="1" applyAlignment="1">
      <alignment vertical="center"/>
    </xf>
    <xf numFmtId="180" fontId="4" fillId="2" borderId="96" xfId="1" applyNumberFormat="1" applyFont="1" applyFill="1" applyBorder="1" applyAlignment="1">
      <alignment horizontal="center" vertical="center"/>
    </xf>
    <xf numFmtId="180" fontId="0" fillId="2" borderId="2" xfId="1" applyNumberFormat="1" applyFont="1" applyFill="1" applyBorder="1" applyAlignment="1">
      <alignment horizontal="left" vertical="center"/>
    </xf>
    <xf numFmtId="0" fontId="3" fillId="2" borderId="9" xfId="0" applyFont="1" applyFill="1" applyBorder="1"/>
    <xf numFmtId="0" fontId="3" fillId="2" borderId="111" xfId="0" applyFont="1" applyFill="1" applyBorder="1"/>
    <xf numFmtId="180" fontId="0" fillId="7" borderId="2" xfId="1" applyNumberFormat="1" applyFont="1" applyFill="1" applyBorder="1" applyAlignment="1">
      <alignment horizontal="right" vertical="center"/>
    </xf>
    <xf numFmtId="168" fontId="0" fillId="7" borderId="2" xfId="0" applyNumberFormat="1" applyFill="1" applyBorder="1" applyAlignment="1">
      <alignment vertical="center"/>
    </xf>
    <xf numFmtId="179" fontId="4" fillId="7" borderId="2" xfId="0" applyNumberFormat="1" applyFont="1" applyFill="1" applyBorder="1" applyAlignment="1">
      <alignment horizontal="right"/>
    </xf>
    <xf numFmtId="182" fontId="0" fillId="7" borderId="2" xfId="1" applyNumberFormat="1" applyFont="1" applyFill="1" applyBorder="1" applyAlignment="1">
      <alignment horizontal="right" vertical="center"/>
    </xf>
    <xf numFmtId="179" fontId="0" fillId="7" borderId="2" xfId="0" applyNumberFormat="1" applyFill="1" applyBorder="1" applyAlignment="1">
      <alignment vertical="center"/>
    </xf>
    <xf numFmtId="179" fontId="0" fillId="7" borderId="17" xfId="0" applyNumberFormat="1" applyFill="1" applyBorder="1" applyAlignment="1">
      <alignment vertical="center"/>
    </xf>
    <xf numFmtId="179" fontId="0" fillId="7" borderId="2" xfId="1" applyNumberFormat="1" applyFont="1" applyFill="1" applyBorder="1" applyAlignment="1">
      <alignment vertical="center"/>
    </xf>
    <xf numFmtId="179" fontId="16" fillId="7" borderId="2" xfId="1" applyNumberFormat="1" applyFont="1" applyFill="1" applyBorder="1" applyAlignment="1">
      <alignment vertical="center"/>
    </xf>
    <xf numFmtId="180" fontId="3" fillId="7" borderId="2" xfId="1" applyNumberFormat="1" applyFont="1" applyFill="1" applyBorder="1" applyAlignment="1">
      <alignment horizontal="right" vertical="center" wrapText="1"/>
    </xf>
    <xf numFmtId="180" fontId="0" fillId="7" borderId="2" xfId="0" applyNumberFormat="1" applyFill="1" applyBorder="1" applyAlignment="1">
      <alignment horizontal="right" vertical="center"/>
    </xf>
    <xf numFmtId="179" fontId="4" fillId="7" borderId="2" xfId="1" applyNumberFormat="1" applyFont="1" applyFill="1" applyBorder="1" applyAlignment="1">
      <alignment vertical="center"/>
    </xf>
    <xf numFmtId="179" fontId="4" fillId="7" borderId="2" xfId="1" applyNumberFormat="1" applyFont="1" applyFill="1" applyBorder="1"/>
    <xf numFmtId="179" fontId="7" fillId="7" borderId="2" xfId="0" applyNumberFormat="1" applyFont="1" applyFill="1" applyBorder="1" applyAlignment="1">
      <alignment vertical="center"/>
    </xf>
    <xf numFmtId="179" fontId="7" fillId="7" borderId="2" xfId="1" applyNumberFormat="1" applyFont="1" applyFill="1" applyBorder="1" applyAlignment="1">
      <alignment vertical="center"/>
    </xf>
    <xf numFmtId="179" fontId="8" fillId="7" borderId="2" xfId="0" applyNumberFormat="1" applyFont="1" applyFill="1" applyBorder="1" applyAlignment="1">
      <alignment horizontal="right"/>
    </xf>
    <xf numFmtId="164" fontId="0" fillId="2" borderId="3" xfId="1" applyNumberFormat="1" applyFont="1" applyFill="1" applyBorder="1" applyAlignment="1">
      <alignment horizontal="right" vertical="center"/>
    </xf>
    <xf numFmtId="179" fontId="8" fillId="2" borderId="52" xfId="1" applyNumberFormat="1" applyFont="1" applyFill="1" applyBorder="1" applyAlignment="1">
      <alignment vertical="center"/>
    </xf>
    <xf numFmtId="166" fontId="3" fillId="2" borderId="17" xfId="1" applyFont="1" applyFill="1" applyBorder="1" applyAlignment="1">
      <alignment vertical="center"/>
    </xf>
    <xf numFmtId="0" fontId="7" fillId="2" borderId="127" xfId="1" applyNumberFormat="1" applyFont="1" applyFill="1" applyBorder="1" applyAlignment="1">
      <alignment horizontal="center" vertical="center"/>
    </xf>
    <xf numFmtId="179" fontId="7" fillId="2" borderId="42" xfId="1" applyNumberFormat="1" applyFont="1" applyFill="1" applyBorder="1" applyAlignment="1">
      <alignment horizontal="right" vertical="center"/>
    </xf>
    <xf numFmtId="179" fontId="7" fillId="8" borderId="42" xfId="1" applyNumberFormat="1" applyFont="1" applyFill="1" applyBorder="1" applyAlignment="1">
      <alignment horizontal="right" vertical="center"/>
    </xf>
    <xf numFmtId="179" fontId="7" fillId="6" borderId="42" xfId="1" applyNumberFormat="1" applyFont="1" applyFill="1" applyBorder="1" applyAlignment="1">
      <alignment horizontal="right" vertical="center"/>
    </xf>
    <xf numFmtId="179" fontId="7" fillId="2" borderId="127" xfId="1" applyNumberFormat="1" applyFont="1" applyFill="1" applyBorder="1" applyAlignment="1">
      <alignment horizontal="right" vertical="center"/>
    </xf>
    <xf numFmtId="179" fontId="7" fillId="2" borderId="124" xfId="1" applyNumberFormat="1" applyFont="1" applyFill="1" applyBorder="1" applyAlignment="1">
      <alignment horizontal="right" vertical="center"/>
    </xf>
    <xf numFmtId="179" fontId="8" fillId="2" borderId="76" xfId="1" applyNumberFormat="1" applyFont="1" applyFill="1" applyBorder="1" applyAlignment="1">
      <alignment horizontal="right" vertical="center"/>
    </xf>
    <xf numFmtId="179" fontId="7" fillId="2" borderId="4" xfId="1" applyNumberFormat="1" applyFont="1" applyFill="1" applyBorder="1" applyAlignment="1">
      <alignment horizontal="right" vertical="center"/>
    </xf>
    <xf numFmtId="179" fontId="7" fillId="2" borderId="18" xfId="1" applyNumberFormat="1" applyFont="1" applyFill="1" applyBorder="1" applyAlignment="1">
      <alignment horizontal="right" vertical="center"/>
    </xf>
    <xf numFmtId="179" fontId="7" fillId="2" borderId="0" xfId="1" applyNumberFormat="1" applyFont="1" applyFill="1" applyBorder="1" applyAlignment="1">
      <alignment horizontal="right" vertical="center"/>
    </xf>
    <xf numFmtId="179" fontId="7" fillId="2" borderId="123" xfId="1" applyNumberFormat="1" applyFont="1" applyFill="1" applyBorder="1" applyAlignment="1">
      <alignment horizontal="right" vertical="center"/>
    </xf>
    <xf numFmtId="179" fontId="8" fillId="2" borderId="67" xfId="1" applyNumberFormat="1" applyFont="1" applyFill="1" applyBorder="1" applyAlignment="1">
      <alignment horizontal="right" vertical="center"/>
    </xf>
    <xf numFmtId="171" fontId="4" fillId="2" borderId="2" xfId="1" applyNumberFormat="1" applyFont="1" applyFill="1" applyBorder="1" applyAlignment="1">
      <alignment horizontal="center" vertical="center" wrapText="1"/>
    </xf>
    <xf numFmtId="177" fontId="0" fillId="2" borderId="17" xfId="0" applyNumberFormat="1" applyFill="1" applyBorder="1" applyAlignment="1">
      <alignment horizontal="left" vertical="center"/>
    </xf>
    <xf numFmtId="177" fontId="0" fillId="2" borderId="64" xfId="0" applyNumberFormat="1" applyFill="1" applyBorder="1" applyAlignment="1">
      <alignment horizontal="left" vertical="center"/>
    </xf>
    <xf numFmtId="179" fontId="0" fillId="0" borderId="64" xfId="1" applyNumberFormat="1" applyFont="1" applyBorder="1" applyAlignment="1">
      <alignment vertical="center"/>
    </xf>
    <xf numFmtId="164" fontId="3" fillId="0" borderId="17" xfId="0" applyNumberFormat="1"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168" fontId="0" fillId="0" borderId="13" xfId="0" applyNumberFormat="1" applyBorder="1" applyAlignment="1">
      <alignment vertical="center"/>
    </xf>
    <xf numFmtId="168" fontId="4" fillId="2" borderId="17" xfId="0" applyNumberFormat="1" applyFont="1" applyFill="1" applyBorder="1" applyAlignment="1">
      <alignment vertical="center" textRotation="90"/>
    </xf>
    <xf numFmtId="168" fontId="4" fillId="2" borderId="7" xfId="0" applyNumberFormat="1" applyFont="1" applyFill="1" applyBorder="1" applyAlignment="1">
      <alignment vertical="center" textRotation="90"/>
    </xf>
    <xf numFmtId="168" fontId="4" fillId="2" borderId="19" xfId="0" applyNumberFormat="1" applyFont="1" applyFill="1" applyBorder="1" applyAlignment="1">
      <alignment vertical="center" textRotation="90"/>
    </xf>
    <xf numFmtId="0" fontId="7" fillId="2" borderId="2" xfId="0" applyFont="1" applyFill="1" applyBorder="1"/>
    <xf numFmtId="0" fontId="7" fillId="2" borderId="2" xfId="0" applyFont="1" applyFill="1" applyBorder="1" applyAlignment="1">
      <alignment vertical="center" wrapText="1"/>
    </xf>
    <xf numFmtId="177" fontId="7" fillId="2" borderId="2" xfId="1" applyNumberFormat="1" applyFont="1" applyFill="1" applyBorder="1"/>
    <xf numFmtId="177" fontId="7" fillId="2" borderId="2" xfId="1" applyNumberFormat="1" applyFont="1" applyFill="1" applyBorder="1" applyAlignment="1">
      <alignment vertical="center"/>
    </xf>
    <xf numFmtId="177" fontId="7" fillId="2" borderId="2" xfId="1" applyNumberFormat="1" applyFont="1" applyFill="1" applyBorder="1" applyAlignment="1" applyProtection="1">
      <alignment horizontal="right" vertical="center"/>
      <protection locked="0"/>
    </xf>
    <xf numFmtId="177" fontId="7" fillId="5" borderId="2" xfId="1" applyNumberFormat="1" applyFont="1" applyFill="1" applyBorder="1"/>
    <xf numFmtId="177" fontId="8" fillId="10" borderId="9" xfId="4" applyNumberFormat="1" applyFont="1" applyFill="1" applyBorder="1"/>
    <xf numFmtId="177" fontId="7" fillId="0" borderId="2" xfId="1" applyNumberFormat="1" applyFont="1" applyBorder="1"/>
    <xf numFmtId="177" fontId="7" fillId="0" borderId="2" xfId="1" applyNumberFormat="1" applyFont="1" applyBorder="1" applyAlignment="1">
      <alignment vertical="center"/>
    </xf>
    <xf numFmtId="177" fontId="8" fillId="2" borderId="9" xfId="1" applyNumberFormat="1" applyFont="1" applyFill="1" applyBorder="1"/>
    <xf numFmtId="179" fontId="7" fillId="0" borderId="2" xfId="1" applyNumberFormat="1" applyFont="1" applyBorder="1" applyAlignment="1">
      <alignment horizontal="right" vertical="center"/>
    </xf>
    <xf numFmtId="171" fontId="16" fillId="26" borderId="17" xfId="1" applyNumberFormat="1" applyFont="1" applyFill="1" applyBorder="1" applyAlignment="1">
      <alignment horizontal="right" vertical="center"/>
    </xf>
    <xf numFmtId="176" fontId="0" fillId="26" borderId="17" xfId="3" applyNumberFormat="1" applyFont="1" applyFill="1" applyBorder="1" applyAlignment="1">
      <alignment horizontal="right" vertical="center"/>
    </xf>
    <xf numFmtId="171" fontId="16" fillId="26" borderId="15" xfId="1" applyNumberFormat="1" applyFont="1" applyFill="1" applyBorder="1" applyAlignment="1">
      <alignment horizontal="right" vertical="center"/>
    </xf>
    <xf numFmtId="176" fontId="0" fillId="26" borderId="52" xfId="3" applyNumberFormat="1" applyFont="1" applyFill="1" applyBorder="1" applyAlignment="1">
      <alignment horizontal="right" vertical="center"/>
    </xf>
    <xf numFmtId="179" fontId="0" fillId="26" borderId="17" xfId="1" applyNumberFormat="1" applyFont="1" applyFill="1" applyBorder="1" applyAlignment="1">
      <alignment vertical="center"/>
    </xf>
    <xf numFmtId="179" fontId="0" fillId="26" borderId="69" xfId="1" applyNumberFormat="1" applyFont="1" applyFill="1" applyBorder="1" applyAlignment="1">
      <alignment horizontal="right" vertical="center"/>
    </xf>
    <xf numFmtId="176" fontId="0" fillId="26" borderId="52" xfId="3" applyNumberFormat="1" applyFont="1" applyFill="1" applyBorder="1" applyAlignment="1">
      <alignment horizontal="center" vertical="center"/>
    </xf>
    <xf numFmtId="179" fontId="0" fillId="26" borderId="17" xfId="1" applyNumberFormat="1" applyFont="1" applyFill="1" applyBorder="1" applyAlignment="1">
      <alignment horizontal="right" vertical="center"/>
    </xf>
    <xf numFmtId="179" fontId="3" fillId="26" borderId="69" xfId="1" applyNumberFormat="1" applyFont="1" applyFill="1" applyBorder="1" applyAlignment="1">
      <alignment horizontal="right" vertical="center"/>
    </xf>
    <xf numFmtId="180" fontId="0" fillId="2" borderId="104" xfId="1" applyNumberFormat="1" applyFont="1" applyFill="1" applyBorder="1" applyAlignment="1">
      <alignment vertical="center"/>
    </xf>
    <xf numFmtId="180" fontId="0" fillId="2" borderId="13" xfId="1" applyNumberFormat="1" applyFont="1" applyFill="1" applyBorder="1" applyAlignment="1">
      <alignment vertical="center"/>
    </xf>
    <xf numFmtId="180" fontId="0" fillId="2" borderId="104" xfId="1" applyNumberFormat="1" applyFont="1" applyFill="1" applyBorder="1" applyAlignment="1">
      <alignment horizontal="center" vertical="center"/>
    </xf>
    <xf numFmtId="180" fontId="0" fillId="7" borderId="13" xfId="1" applyNumberFormat="1" applyFont="1" applyFill="1" applyBorder="1" applyAlignment="1">
      <alignment horizontal="right" vertical="center"/>
    </xf>
    <xf numFmtId="180" fontId="0" fillId="2" borderId="102" xfId="1" applyNumberFormat="1" applyFont="1" applyFill="1" applyBorder="1" applyAlignment="1">
      <alignment vertical="center"/>
    </xf>
    <xf numFmtId="180" fontId="0" fillId="2" borderId="98" xfId="1" applyNumberFormat="1" applyFont="1" applyFill="1" applyBorder="1" applyAlignment="1">
      <alignment vertical="center"/>
    </xf>
    <xf numFmtId="180" fontId="3" fillId="2" borderId="102" xfId="1" applyNumberFormat="1" applyFont="1" applyFill="1" applyBorder="1" applyAlignment="1">
      <alignment horizontal="center" vertical="center"/>
    </xf>
    <xf numFmtId="170" fontId="0" fillId="0" borderId="17" xfId="0" applyNumberFormat="1" applyBorder="1" applyAlignment="1">
      <alignment horizontal="left" vertical="center"/>
    </xf>
    <xf numFmtId="171" fontId="0" fillId="2" borderId="17" xfId="1" applyNumberFormat="1" applyFont="1" applyFill="1" applyBorder="1" applyAlignment="1">
      <alignment horizontal="right" vertical="center"/>
    </xf>
    <xf numFmtId="168" fontId="0" fillId="0" borderId="17" xfId="0" applyNumberFormat="1" applyBorder="1" applyAlignment="1">
      <alignment vertical="center"/>
    </xf>
    <xf numFmtId="168" fontId="0" fillId="0" borderId="17" xfId="0" applyNumberFormat="1" applyBorder="1" applyAlignment="1">
      <alignment vertical="center" wrapText="1"/>
    </xf>
    <xf numFmtId="168" fontId="0" fillId="7" borderId="2" xfId="0" applyNumberFormat="1" applyFill="1" applyBorder="1" applyAlignment="1">
      <alignment horizontal="right" vertical="center"/>
    </xf>
    <xf numFmtId="0" fontId="0" fillId="2" borderId="104" xfId="1" applyNumberFormat="1" applyFont="1" applyFill="1" applyBorder="1" applyAlignment="1">
      <alignment horizontal="center" vertical="center"/>
    </xf>
    <xf numFmtId="0" fontId="0" fillId="2" borderId="96" xfId="1" applyNumberFormat="1" applyFont="1" applyFill="1" applyBorder="1" applyAlignment="1">
      <alignment horizontal="center" vertical="center"/>
    </xf>
    <xf numFmtId="180" fontId="8" fillId="2" borderId="2" xfId="1" applyNumberFormat="1" applyFont="1" applyFill="1" applyBorder="1" applyAlignment="1">
      <alignment horizontal="right" vertical="center"/>
    </xf>
    <xf numFmtId="180" fontId="0" fillId="2" borderId="2" xfId="1" applyNumberFormat="1" applyFont="1" applyFill="1" applyBorder="1" applyAlignment="1">
      <alignment horizontal="right" vertical="center"/>
    </xf>
    <xf numFmtId="180" fontId="0" fillId="2" borderId="98" xfId="1" applyNumberFormat="1" applyFont="1" applyFill="1" applyBorder="1" applyAlignment="1">
      <alignment horizontal="right" vertical="center"/>
    </xf>
    <xf numFmtId="164" fontId="3" fillId="0" borderId="9" xfId="0" applyNumberFormat="1" applyFont="1" applyBorder="1" applyAlignment="1">
      <alignment horizontal="right" vertical="center"/>
    </xf>
    <xf numFmtId="164" fontId="8" fillId="10" borderId="9" xfId="4" applyNumberFormat="1" applyFont="1" applyFill="1" applyBorder="1" applyAlignment="1">
      <alignment horizontal="right" vertical="center"/>
    </xf>
    <xf numFmtId="0" fontId="8" fillId="2" borderId="3" xfId="1" applyNumberFormat="1" applyFont="1" applyFill="1" applyBorder="1" applyAlignment="1">
      <alignment horizontal="center" vertical="center"/>
    </xf>
    <xf numFmtId="0" fontId="4" fillId="0" borderId="3" xfId="0" applyFont="1" applyBorder="1" applyAlignment="1">
      <alignment horizontal="center" vertical="center" wrapText="1"/>
    </xf>
    <xf numFmtId="180" fontId="0" fillId="2" borderId="13" xfId="1" applyNumberFormat="1" applyFont="1" applyFill="1" applyBorder="1" applyAlignment="1">
      <alignment horizontal="right" vertical="center"/>
    </xf>
    <xf numFmtId="171" fontId="3" fillId="2" borderId="9" xfId="1" applyNumberFormat="1" applyFont="1" applyFill="1" applyBorder="1"/>
    <xf numFmtId="168" fontId="0" fillId="2" borderId="2" xfId="0" applyNumberFormat="1" applyFill="1" applyBorder="1" applyAlignment="1">
      <alignment horizontal="right" vertical="center"/>
    </xf>
    <xf numFmtId="168" fontId="8" fillId="2" borderId="9" xfId="4" applyNumberFormat="1" applyFont="1" applyFill="1" applyBorder="1" applyAlignment="1">
      <alignment horizontal="right" vertical="center"/>
    </xf>
    <xf numFmtId="164" fontId="8" fillId="2" borderId="2" xfId="4" applyNumberFormat="1" applyFont="1" applyFill="1" applyBorder="1" applyAlignment="1">
      <alignment vertical="center"/>
    </xf>
    <xf numFmtId="0" fontId="4" fillId="0" borderId="2" xfId="0" applyFont="1" applyBorder="1" applyAlignment="1">
      <alignment vertical="center" wrapText="1"/>
    </xf>
    <xf numFmtId="0" fontId="4" fillId="0" borderId="7" xfId="0" applyFont="1" applyBorder="1" applyAlignment="1">
      <alignment horizontal="center" vertical="center"/>
    </xf>
    <xf numFmtId="0" fontId="16" fillId="0" borderId="2" xfId="0" applyFont="1" applyBorder="1" applyAlignment="1">
      <alignment vertical="center"/>
    </xf>
    <xf numFmtId="180" fontId="8" fillId="2" borderId="9" xfId="4" applyNumberFormat="1" applyFont="1" applyFill="1" applyBorder="1" applyAlignment="1">
      <alignment vertical="center"/>
    </xf>
    <xf numFmtId="164" fontId="8" fillId="2" borderId="45" xfId="4" applyNumberFormat="1" applyFont="1" applyFill="1" applyBorder="1" applyAlignment="1">
      <alignment horizontal="right" vertical="center"/>
    </xf>
    <xf numFmtId="179" fontId="8" fillId="2" borderId="45" xfId="4" applyNumberFormat="1" applyFont="1" applyFill="1" applyBorder="1" applyAlignment="1">
      <alignment vertical="center"/>
    </xf>
    <xf numFmtId="179" fontId="0" fillId="2" borderId="2" xfId="0" applyNumberFormat="1" applyFill="1" applyBorder="1" applyAlignment="1">
      <alignment vertical="center" wrapText="1"/>
    </xf>
    <xf numFmtId="179" fontId="8" fillId="2" borderId="9" xfId="4" applyNumberFormat="1" applyFont="1" applyFill="1" applyBorder="1" applyAlignment="1">
      <alignment vertical="center"/>
    </xf>
    <xf numFmtId="0" fontId="8" fillId="2" borderId="2" xfId="0" applyFont="1" applyFill="1" applyBorder="1" applyAlignment="1">
      <alignment horizontal="center"/>
    </xf>
    <xf numFmtId="179" fontId="8" fillId="2" borderId="9" xfId="4" applyNumberFormat="1" applyFont="1" applyFill="1" applyBorder="1" applyAlignment="1">
      <alignment vertical="center" wrapText="1"/>
    </xf>
    <xf numFmtId="179" fontId="8" fillId="2" borderId="9" xfId="4" applyNumberFormat="1" applyFont="1" applyFill="1" applyBorder="1" applyAlignment="1">
      <alignment horizontal="right" vertical="center"/>
    </xf>
    <xf numFmtId="179" fontId="4" fillId="2" borderId="0" xfId="1" applyNumberFormat="1" applyFont="1" applyFill="1" applyBorder="1" applyAlignment="1">
      <alignment vertical="center"/>
    </xf>
    <xf numFmtId="179" fontId="3" fillId="2" borderId="0" xfId="1" applyNumberFormat="1" applyFont="1" applyFill="1" applyBorder="1" applyAlignment="1">
      <alignment vertical="center"/>
    </xf>
    <xf numFmtId="179" fontId="29" fillId="2" borderId="0" xfId="4" applyNumberFormat="1" applyFill="1" applyBorder="1" applyAlignment="1">
      <alignment vertical="center"/>
    </xf>
    <xf numFmtId="164" fontId="4" fillId="2" borderId="2" xfId="0" applyNumberFormat="1" applyFont="1" applyFill="1" applyBorder="1" applyAlignment="1">
      <alignment horizontal="right" vertical="center"/>
    </xf>
    <xf numFmtId="164" fontId="0" fillId="2" borderId="8" xfId="0" applyNumberFormat="1" applyFill="1" applyBorder="1" applyAlignment="1">
      <alignment horizontal="right" vertical="center"/>
    </xf>
    <xf numFmtId="180" fontId="8" fillId="2" borderId="9" xfId="4" applyNumberFormat="1" applyFont="1" applyFill="1" applyBorder="1" applyAlignment="1">
      <alignment horizontal="right" vertical="center"/>
    </xf>
    <xf numFmtId="168" fontId="8" fillId="2" borderId="9" xfId="4" applyNumberFormat="1" applyFont="1" applyFill="1" applyBorder="1" applyAlignment="1">
      <alignment vertical="center"/>
    </xf>
    <xf numFmtId="164" fontId="0" fillId="2" borderId="17" xfId="0" applyNumberFormat="1" applyFill="1" applyBorder="1" applyAlignment="1">
      <alignment vertical="center"/>
    </xf>
    <xf numFmtId="164" fontId="0" fillId="2" borderId="7" xfId="0" applyNumberFormat="1" applyFill="1" applyBorder="1" applyAlignment="1">
      <alignment vertical="center"/>
    </xf>
    <xf numFmtId="0" fontId="0" fillId="2" borderId="2" xfId="0" applyFill="1" applyBorder="1" applyAlignment="1">
      <alignment horizontal="right" vertical="center" wrapText="1"/>
    </xf>
    <xf numFmtId="166" fontId="0" fillId="2" borderId="2" xfId="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 xfId="0" applyFont="1" applyBorder="1" applyAlignment="1">
      <alignment horizontal="center" vertical="center" wrapText="1"/>
    </xf>
    <xf numFmtId="179" fontId="8" fillId="2" borderId="118" xfId="4" applyNumberFormat="1" applyFont="1" applyFill="1" applyBorder="1" applyAlignment="1">
      <alignment vertical="center"/>
    </xf>
    <xf numFmtId="179" fontId="4" fillId="2" borderId="2" xfId="0" applyNumberFormat="1" applyFont="1" applyFill="1" applyBorder="1" applyAlignment="1">
      <alignment horizontal="right"/>
    </xf>
    <xf numFmtId="179" fontId="8" fillId="2" borderId="9" xfId="4" applyNumberFormat="1" applyFont="1" applyFill="1" applyBorder="1" applyAlignment="1">
      <alignment horizontal="right"/>
    </xf>
    <xf numFmtId="179" fontId="16" fillId="2" borderId="2" xfId="0" applyNumberFormat="1" applyFont="1" applyFill="1" applyBorder="1"/>
    <xf numFmtId="179" fontId="8" fillId="2" borderId="2" xfId="4" applyNumberFormat="1" applyFont="1" applyFill="1" applyBorder="1" applyAlignment="1">
      <alignment vertical="center"/>
    </xf>
    <xf numFmtId="0" fontId="3" fillId="2" borderId="2" xfId="0" applyFont="1" applyFill="1" applyBorder="1" applyAlignment="1">
      <alignment horizontal="center"/>
    </xf>
    <xf numFmtId="179" fontId="3" fillId="2" borderId="64" xfId="1" applyNumberFormat="1" applyFont="1" applyFill="1" applyBorder="1" applyAlignment="1">
      <alignment vertical="center"/>
    </xf>
    <xf numFmtId="179" fontId="3" fillId="2" borderId="2" xfId="1" applyNumberFormat="1" applyFont="1" applyFill="1" applyBorder="1" applyAlignment="1">
      <alignment vertical="center"/>
    </xf>
    <xf numFmtId="179" fontId="8" fillId="2" borderId="2" xfId="0" applyNumberFormat="1" applyFont="1" applyFill="1" applyBorder="1" applyAlignment="1">
      <alignment horizontal="right"/>
    </xf>
    <xf numFmtId="168" fontId="0" fillId="28" borderId="2" xfId="1" applyNumberFormat="1" applyFont="1" applyFill="1" applyBorder="1" applyAlignment="1">
      <alignment vertical="center"/>
    </xf>
    <xf numFmtId="168" fontId="0" fillId="28" borderId="17" xfId="1" applyNumberFormat="1" applyFont="1" applyFill="1" applyBorder="1" applyAlignment="1">
      <alignment vertical="center"/>
    </xf>
    <xf numFmtId="168" fontId="0" fillId="19" borderId="106" xfId="1" applyNumberFormat="1" applyFont="1" applyFill="1" applyBorder="1" applyAlignment="1">
      <alignment vertical="center"/>
    </xf>
    <xf numFmtId="168" fontId="0" fillId="28" borderId="7" xfId="1" applyNumberFormat="1" applyFont="1" applyFill="1" applyBorder="1" applyAlignment="1">
      <alignment vertical="center"/>
    </xf>
    <xf numFmtId="168" fontId="0" fillId="28" borderId="57" xfId="1" applyNumberFormat="1" applyFont="1" applyFill="1" applyBorder="1" applyAlignment="1">
      <alignment vertical="center"/>
    </xf>
    <xf numFmtId="168" fontId="0" fillId="28" borderId="95" xfId="1" applyNumberFormat="1" applyFont="1" applyFill="1" applyBorder="1" applyAlignment="1">
      <alignment vertical="center"/>
    </xf>
    <xf numFmtId="168" fontId="3" fillId="28" borderId="136" xfId="1" applyNumberFormat="1" applyFont="1" applyFill="1" applyBorder="1" applyAlignment="1">
      <alignment vertical="center"/>
    </xf>
    <xf numFmtId="0" fontId="0" fillId="2" borderId="96" xfId="0" applyFill="1" applyBorder="1" applyAlignment="1">
      <alignment vertical="center"/>
    </xf>
    <xf numFmtId="171" fontId="0" fillId="2" borderId="3" xfId="1" applyNumberFormat="1" applyFont="1" applyFill="1" applyBorder="1" applyAlignment="1">
      <alignment vertical="center"/>
    </xf>
    <xf numFmtId="168" fontId="0" fillId="2" borderId="5" xfId="1" applyNumberFormat="1" applyFont="1" applyFill="1" applyBorder="1" applyAlignment="1">
      <alignment vertical="center"/>
    </xf>
    <xf numFmtId="0" fontId="0" fillId="2" borderId="97" xfId="0" applyFill="1" applyBorder="1" applyAlignment="1">
      <alignment vertical="center"/>
    </xf>
    <xf numFmtId="171" fontId="0" fillId="2" borderId="15" xfId="1" applyNumberFormat="1" applyFont="1" applyFill="1" applyBorder="1" applyAlignment="1">
      <alignment vertical="center"/>
    </xf>
    <xf numFmtId="0" fontId="0" fillId="2" borderId="94" xfId="0" applyFill="1" applyBorder="1" applyAlignment="1">
      <alignment vertical="center"/>
    </xf>
    <xf numFmtId="0" fontId="0" fillId="19" borderId="132" xfId="0" applyFill="1" applyBorder="1" applyAlignment="1">
      <alignment vertical="center"/>
    </xf>
    <xf numFmtId="171" fontId="0" fillId="19" borderId="15" xfId="1" applyNumberFormat="1" applyFont="1" applyFill="1" applyBorder="1" applyAlignment="1">
      <alignment vertical="center"/>
    </xf>
    <xf numFmtId="0" fontId="3" fillId="0" borderId="133" xfId="0" applyFont="1" applyBorder="1" applyAlignment="1">
      <alignment vertical="center"/>
    </xf>
    <xf numFmtId="168" fontId="3" fillId="0" borderId="134" xfId="1" applyNumberFormat="1" applyFont="1" applyBorder="1" applyAlignment="1">
      <alignment vertical="center"/>
    </xf>
    <xf numFmtId="0" fontId="0" fillId="2" borderId="135" xfId="0" applyFill="1" applyBorder="1" applyAlignment="1">
      <alignment vertical="center"/>
    </xf>
    <xf numFmtId="168" fontId="0" fillId="2" borderId="89" xfId="1" applyNumberFormat="1" applyFont="1" applyFill="1" applyBorder="1" applyAlignment="1">
      <alignment vertical="center"/>
    </xf>
    <xf numFmtId="0" fontId="0" fillId="2" borderId="137" xfId="0" applyFill="1" applyBorder="1" applyAlignment="1">
      <alignment vertical="center"/>
    </xf>
    <xf numFmtId="168" fontId="0" fillId="2" borderId="92" xfId="1" applyNumberFormat="1" applyFont="1" applyFill="1" applyBorder="1" applyAlignment="1">
      <alignment vertical="center"/>
    </xf>
    <xf numFmtId="0" fontId="0" fillId="0" borderId="133" xfId="0" applyBorder="1" applyAlignment="1">
      <alignment vertical="center"/>
    </xf>
    <xf numFmtId="168" fontId="0" fillId="0" borderId="33" xfId="1" applyNumberFormat="1" applyFont="1" applyBorder="1" applyAlignment="1">
      <alignment vertical="center"/>
    </xf>
    <xf numFmtId="168" fontId="3" fillId="0" borderId="0" xfId="1" applyNumberFormat="1" applyFont="1" applyBorder="1" applyAlignment="1">
      <alignment vertical="center"/>
    </xf>
    <xf numFmtId="168" fontId="3" fillId="0" borderId="141" xfId="1" applyNumberFormat="1" applyFont="1" applyBorder="1" applyAlignment="1">
      <alignment vertical="center"/>
    </xf>
    <xf numFmtId="168" fontId="0" fillId="28" borderId="95" xfId="0" applyNumberFormat="1" applyFill="1" applyBorder="1" applyAlignment="1">
      <alignment vertical="center"/>
    </xf>
    <xf numFmtId="168" fontId="0" fillId="28" borderId="2" xfId="0" applyNumberFormat="1" applyFill="1" applyBorder="1" applyAlignment="1">
      <alignment vertical="center"/>
    </xf>
    <xf numFmtId="171" fontId="0" fillId="2" borderId="17" xfId="1" applyNumberFormat="1" applyFont="1" applyFill="1" applyBorder="1" applyAlignment="1">
      <alignment vertical="center"/>
    </xf>
    <xf numFmtId="0" fontId="0" fillId="2" borderId="132" xfId="0" applyFill="1" applyBorder="1" applyAlignment="1">
      <alignment vertical="center"/>
    </xf>
    <xf numFmtId="0" fontId="3" fillId="0" borderId="139" xfId="0" applyFont="1" applyBorder="1" applyAlignment="1">
      <alignment vertical="center"/>
    </xf>
    <xf numFmtId="168" fontId="3" fillId="28" borderId="143" xfId="0" applyNumberFormat="1" applyFont="1" applyFill="1" applyBorder="1" applyAlignment="1">
      <alignment vertical="center"/>
    </xf>
    <xf numFmtId="168" fontId="3" fillId="28" borderId="24" xfId="0" applyNumberFormat="1" applyFont="1" applyFill="1" applyBorder="1" applyAlignment="1">
      <alignment vertical="center"/>
    </xf>
    <xf numFmtId="0" fontId="0" fillId="0" borderId="94" xfId="0" applyBorder="1" applyAlignment="1">
      <alignment vertical="center"/>
    </xf>
    <xf numFmtId="0" fontId="0" fillId="0" borderId="132" xfId="0" applyBorder="1" applyAlignment="1">
      <alignment vertical="center"/>
    </xf>
    <xf numFmtId="168" fontId="0" fillId="0" borderId="61" xfId="1" applyNumberFormat="1" applyFont="1" applyBorder="1" applyAlignment="1">
      <alignment vertical="center"/>
    </xf>
    <xf numFmtId="168" fontId="0" fillId="0" borderId="20" xfId="0" applyNumberFormat="1" applyBorder="1" applyAlignment="1">
      <alignment vertical="center"/>
    </xf>
    <xf numFmtId="0" fontId="4" fillId="0" borderId="96" xfId="0" applyFont="1" applyBorder="1" applyAlignment="1">
      <alignment horizontal="center" vertical="center"/>
    </xf>
    <xf numFmtId="0" fontId="4" fillId="0" borderId="22" xfId="0" applyFont="1" applyBorder="1" applyAlignment="1">
      <alignment horizontal="center" vertical="center" wrapText="1"/>
    </xf>
    <xf numFmtId="0" fontId="4" fillId="0" borderId="95" xfId="0" applyFont="1" applyBorder="1" applyAlignment="1">
      <alignment horizontal="center" vertical="center" wrapText="1"/>
    </xf>
    <xf numFmtId="168" fontId="33" fillId="10" borderId="111" xfId="4" applyNumberFormat="1" applyFont="1" applyFill="1" applyBorder="1" applyAlignment="1">
      <alignment vertical="center"/>
    </xf>
    <xf numFmtId="171" fontId="0" fillId="0" borderId="2" xfId="1" applyNumberFormat="1" applyFont="1" applyBorder="1"/>
    <xf numFmtId="171" fontId="4" fillId="2" borderId="2" xfId="1" applyNumberFormat="1" applyFont="1" applyFill="1" applyBorder="1" applyAlignment="1">
      <alignment vertical="center"/>
    </xf>
    <xf numFmtId="171" fontId="3" fillId="2" borderId="19" xfId="1" applyNumberFormat="1" applyFont="1" applyFill="1" applyBorder="1" applyAlignment="1">
      <alignment vertical="center"/>
    </xf>
    <xf numFmtId="171" fontId="3" fillId="2" borderId="116" xfId="1" applyNumberFormat="1" applyFont="1" applyFill="1" applyBorder="1" applyAlignment="1">
      <alignment horizontal="center" vertical="center"/>
    </xf>
    <xf numFmtId="171" fontId="0" fillId="2" borderId="96" xfId="1" applyNumberFormat="1" applyFont="1" applyFill="1" applyBorder="1" applyAlignment="1">
      <alignment vertical="center"/>
    </xf>
    <xf numFmtId="171" fontId="56" fillId="2" borderId="105" xfId="1" applyNumberFormat="1" applyFont="1" applyFill="1" applyBorder="1" applyAlignment="1" applyProtection="1">
      <alignment horizontal="right" vertical="center"/>
      <protection locked="0"/>
    </xf>
    <xf numFmtId="171" fontId="8" fillId="2" borderId="9" xfId="1" applyNumberFormat="1" applyFont="1" applyFill="1" applyBorder="1" applyAlignment="1" applyProtection="1">
      <alignment horizontal="right" vertical="center"/>
      <protection locked="0"/>
    </xf>
    <xf numFmtId="180" fontId="7" fillId="2" borderId="2" xfId="3" applyNumberFormat="1" applyFont="1" applyFill="1" applyBorder="1" applyAlignment="1">
      <alignment vertical="center"/>
    </xf>
    <xf numFmtId="179" fontId="7" fillId="2" borderId="22" xfId="1" applyNumberFormat="1" applyFont="1" applyFill="1" applyBorder="1" applyAlignment="1">
      <alignment horizontal="right" vertical="center"/>
    </xf>
    <xf numFmtId="179" fontId="3" fillId="7" borderId="2" xfId="1" applyNumberFormat="1" applyFont="1" applyFill="1" applyBorder="1" applyAlignment="1">
      <alignment vertical="center"/>
    </xf>
    <xf numFmtId="179" fontId="16" fillId="7" borderId="2" xfId="1" applyNumberFormat="1" applyFont="1" applyFill="1" applyBorder="1" applyAlignment="1">
      <alignment horizontal="right" vertical="center"/>
    </xf>
    <xf numFmtId="171" fontId="0" fillId="7" borderId="2" xfId="1" applyNumberFormat="1" applyFont="1" applyFill="1" applyBorder="1" applyAlignment="1">
      <alignment vertical="center"/>
    </xf>
    <xf numFmtId="0" fontId="3" fillId="2" borderId="42" xfId="0" applyFont="1" applyFill="1" applyBorder="1" applyAlignment="1">
      <alignment horizontal="center" vertical="center" wrapText="1"/>
    </xf>
    <xf numFmtId="168" fontId="0" fillId="2" borderId="17" xfId="0" applyNumberFormat="1" applyFill="1" applyBorder="1" applyAlignment="1">
      <alignment horizontal="right" vertical="center"/>
    </xf>
    <xf numFmtId="168" fontId="0" fillId="2" borderId="13" xfId="0" applyNumberFormat="1" applyFill="1" applyBorder="1" applyAlignment="1">
      <alignment horizontal="right" vertical="center"/>
    </xf>
    <xf numFmtId="180" fontId="2" fillId="2" borderId="2" xfId="1" applyNumberFormat="1" applyFont="1" applyFill="1" applyBorder="1" applyAlignment="1">
      <alignment vertical="center"/>
    </xf>
    <xf numFmtId="179" fontId="7" fillId="2" borderId="52" xfId="1" applyNumberFormat="1" applyFont="1" applyFill="1" applyBorder="1" applyAlignment="1">
      <alignment vertical="center"/>
    </xf>
    <xf numFmtId="179" fontId="7" fillId="2" borderId="65" xfId="1" applyNumberFormat="1" applyFont="1" applyFill="1" applyBorder="1" applyAlignment="1">
      <alignment vertical="center"/>
    </xf>
    <xf numFmtId="179" fontId="7" fillId="2" borderId="112" xfId="1" applyNumberFormat="1" applyFont="1" applyFill="1" applyBorder="1" applyAlignment="1">
      <alignment vertical="center"/>
    </xf>
    <xf numFmtId="171" fontId="0" fillId="7" borderId="2" xfId="1" applyNumberFormat="1" applyFont="1" applyFill="1" applyBorder="1"/>
    <xf numFmtId="171" fontId="0" fillId="7" borderId="96" xfId="1" applyNumberFormat="1" applyFont="1" applyFill="1" applyBorder="1" applyAlignment="1">
      <alignment vertical="center"/>
    </xf>
    <xf numFmtId="180" fontId="3" fillId="2" borderId="136" xfId="1" applyNumberFormat="1" applyFont="1" applyFill="1" applyBorder="1" applyAlignment="1">
      <alignment horizontal="center" vertical="center"/>
    </xf>
    <xf numFmtId="180" fontId="3" fillId="2" borderId="148" xfId="1" applyNumberFormat="1" applyFont="1" applyFill="1" applyBorder="1" applyAlignment="1">
      <alignment horizontal="center" vertical="center"/>
    </xf>
    <xf numFmtId="180" fontId="3" fillId="2" borderId="7" xfId="1" applyNumberFormat="1" applyFont="1" applyFill="1" applyBorder="1" applyAlignment="1">
      <alignment vertical="center"/>
    </xf>
    <xf numFmtId="171" fontId="3" fillId="2" borderId="7" xfId="1" applyNumberFormat="1" applyFont="1" applyFill="1" applyBorder="1" applyAlignment="1">
      <alignment vertical="center"/>
    </xf>
    <xf numFmtId="166" fontId="0" fillId="2" borderId="2" xfId="1" applyFont="1" applyFill="1" applyBorder="1" applyAlignment="1">
      <alignment vertical="center"/>
    </xf>
    <xf numFmtId="166" fontId="3" fillId="2" borderId="9" xfId="0" applyNumberFormat="1" applyFont="1" applyFill="1" applyBorder="1" applyAlignment="1">
      <alignment vertical="center"/>
    </xf>
    <xf numFmtId="0" fontId="4" fillId="0" borderId="0" xfId="0" applyFont="1" applyAlignment="1">
      <alignment horizontal="center" vertical="center"/>
    </xf>
    <xf numFmtId="0" fontId="3" fillId="2" borderId="5" xfId="0" applyFont="1" applyFill="1" applyBorder="1" applyAlignment="1">
      <alignment horizontal="center" vertical="center" wrapText="1"/>
    </xf>
    <xf numFmtId="171" fontId="0" fillId="2" borderId="7" xfId="0" applyNumberFormat="1" applyFill="1" applyBorder="1" applyAlignment="1">
      <alignment horizontal="right" vertical="center"/>
    </xf>
    <xf numFmtId="164" fontId="3" fillId="2" borderId="17" xfId="0" applyNumberFormat="1" applyFont="1" applyFill="1" applyBorder="1" applyAlignment="1">
      <alignment horizontal="right" vertical="center"/>
    </xf>
    <xf numFmtId="164" fontId="3" fillId="2" borderId="7" xfId="0" applyNumberFormat="1" applyFont="1" applyFill="1" applyBorder="1" applyAlignment="1">
      <alignment horizontal="right" vertical="center"/>
    </xf>
    <xf numFmtId="164" fontId="0" fillId="2" borderId="17" xfId="0" applyNumberFormat="1" applyFill="1" applyBorder="1" applyAlignment="1">
      <alignment horizontal="right" vertical="center"/>
    </xf>
    <xf numFmtId="164" fontId="0" fillId="2" borderId="13" xfId="0" applyNumberFormat="1" applyFill="1" applyBorder="1" applyAlignment="1">
      <alignment horizontal="right"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164" fontId="15" fillId="2" borderId="17" xfId="0" applyNumberFormat="1" applyFont="1" applyFill="1" applyBorder="1" applyAlignment="1">
      <alignment horizontal="right" vertical="center"/>
    </xf>
    <xf numFmtId="164" fontId="15" fillId="2" borderId="7" xfId="0" applyNumberFormat="1" applyFont="1" applyFill="1" applyBorder="1" applyAlignment="1">
      <alignment horizontal="right" vertical="center"/>
    </xf>
    <xf numFmtId="164" fontId="15" fillId="2" borderId="13" xfId="0" applyNumberFormat="1" applyFont="1" applyFill="1" applyBorder="1" applyAlignment="1">
      <alignment horizontal="right" vertical="center"/>
    </xf>
    <xf numFmtId="164" fontId="0" fillId="2" borderId="17" xfId="0" applyNumberFormat="1" applyFill="1" applyBorder="1" applyAlignment="1">
      <alignment horizontal="right" vertical="center" wrapText="1"/>
    </xf>
    <xf numFmtId="164" fontId="0" fillId="2" borderId="7" xfId="0" applyNumberFormat="1" applyFill="1" applyBorder="1" applyAlignment="1">
      <alignment horizontal="right" vertical="center" wrapText="1"/>
    </xf>
    <xf numFmtId="164" fontId="0" fillId="2" borderId="13" xfId="0" applyNumberFormat="1" applyFill="1" applyBorder="1" applyAlignment="1">
      <alignment horizontal="right" vertical="center" wrapText="1"/>
    </xf>
    <xf numFmtId="0" fontId="8" fillId="0" borderId="3" xfId="0" applyFont="1" applyBorder="1" applyAlignment="1">
      <alignment horizontal="center" vertical="center"/>
    </xf>
    <xf numFmtId="0" fontId="8" fillId="2" borderId="3" xfId="0" applyFont="1" applyFill="1" applyBorder="1" applyAlignment="1">
      <alignment horizontal="center" vertical="center"/>
    </xf>
    <xf numFmtId="171" fontId="3" fillId="2" borderId="0" xfId="1" applyNumberFormat="1" applyFont="1" applyFill="1" applyBorder="1" applyAlignment="1">
      <alignment vertical="center"/>
    </xf>
    <xf numFmtId="0" fontId="54" fillId="2" borderId="4" xfId="0" applyFont="1" applyFill="1" applyBorder="1" applyAlignment="1" applyProtection="1">
      <alignment vertical="center"/>
      <protection locked="0"/>
    </xf>
    <xf numFmtId="0" fontId="54" fillId="2" borderId="4" xfId="0" applyFont="1" applyFill="1" applyBorder="1" applyAlignment="1" applyProtection="1">
      <alignment horizontal="left" vertical="center"/>
      <protection locked="0"/>
    </xf>
    <xf numFmtId="0" fontId="54" fillId="2" borderId="4" xfId="0" applyFont="1" applyFill="1" applyBorder="1" applyAlignment="1">
      <alignment vertical="center"/>
    </xf>
    <xf numFmtId="0" fontId="55" fillId="2" borderId="119" xfId="0" applyFont="1" applyFill="1" applyBorder="1" applyAlignment="1" applyProtection="1">
      <alignment vertical="center"/>
      <protection locked="0"/>
    </xf>
    <xf numFmtId="0" fontId="55" fillId="2" borderId="4" xfId="0" applyFont="1" applyFill="1" applyBorder="1" applyAlignment="1" applyProtection="1">
      <alignment vertical="center"/>
      <protection locked="0"/>
    </xf>
    <xf numFmtId="0" fontId="55" fillId="2" borderId="4" xfId="0" applyFont="1" applyFill="1" applyBorder="1" applyAlignment="1">
      <alignment vertical="center"/>
    </xf>
    <xf numFmtId="0" fontId="55" fillId="2" borderId="119" xfId="0" applyFont="1" applyFill="1" applyBorder="1" applyAlignment="1">
      <alignment vertical="center"/>
    </xf>
    <xf numFmtId="0" fontId="55" fillId="2" borderId="5" xfId="0" applyFont="1" applyFill="1" applyBorder="1" applyAlignment="1">
      <alignment vertical="center"/>
    </xf>
    <xf numFmtId="0" fontId="55" fillId="2" borderId="147" xfId="0" applyFont="1" applyFill="1" applyBorder="1" applyAlignment="1">
      <alignment vertical="center"/>
    </xf>
    <xf numFmtId="0" fontId="56" fillId="2" borderId="1" xfId="0" applyFont="1" applyFill="1" applyBorder="1" applyAlignment="1">
      <alignment vertical="center"/>
    </xf>
    <xf numFmtId="0" fontId="56" fillId="2" borderId="4" xfId="0" applyFont="1" applyFill="1" applyBorder="1" applyAlignment="1">
      <alignment vertical="center"/>
    </xf>
    <xf numFmtId="0" fontId="4" fillId="0" borderId="5" xfId="0" applyFont="1" applyBorder="1"/>
    <xf numFmtId="0" fontId="4" fillId="30" borderId="5" xfId="0" applyFont="1" applyFill="1" applyBorder="1"/>
    <xf numFmtId="0" fontId="55" fillId="2" borderId="12" xfId="0" applyFont="1" applyFill="1" applyBorder="1" applyAlignment="1">
      <alignment vertical="center"/>
    </xf>
    <xf numFmtId="180" fontId="3" fillId="2" borderId="4" xfId="1" applyNumberFormat="1" applyFont="1" applyFill="1" applyBorder="1" applyAlignment="1">
      <alignment horizontal="center" vertical="center"/>
    </xf>
    <xf numFmtId="180" fontId="3" fillId="2" borderId="4" xfId="1" applyNumberFormat="1" applyFont="1" applyFill="1" applyBorder="1" applyAlignment="1">
      <alignment vertical="center"/>
    </xf>
    <xf numFmtId="171" fontId="3" fillId="2" borderId="4" xfId="1" applyNumberFormat="1" applyFont="1" applyFill="1" applyBorder="1" applyAlignment="1">
      <alignment horizontal="center" vertical="center"/>
    </xf>
    <xf numFmtId="171" fontId="3" fillId="2" borderId="4" xfId="1" applyNumberFormat="1" applyFont="1" applyFill="1" applyBorder="1" applyAlignment="1">
      <alignment vertical="center"/>
    </xf>
    <xf numFmtId="180" fontId="3" fillId="2" borderId="11" xfId="1" applyNumberFormat="1" applyFont="1" applyFill="1" applyBorder="1" applyAlignment="1">
      <alignment horizontal="center" vertical="center"/>
    </xf>
    <xf numFmtId="180" fontId="3" fillId="2" borderId="11" xfId="1" applyNumberFormat="1" applyFont="1" applyFill="1" applyBorder="1" applyAlignment="1">
      <alignment vertical="center"/>
    </xf>
    <xf numFmtId="171" fontId="3" fillId="2" borderId="11" xfId="1" applyNumberFormat="1" applyFont="1" applyFill="1" applyBorder="1" applyAlignment="1">
      <alignment horizontal="center" vertical="center"/>
    </xf>
    <xf numFmtId="171" fontId="3" fillId="2" borderId="11" xfId="1" applyNumberFormat="1" applyFont="1" applyFill="1" applyBorder="1" applyAlignment="1">
      <alignment vertical="center"/>
    </xf>
    <xf numFmtId="0" fontId="4" fillId="2" borderId="3" xfId="0" applyFont="1" applyFill="1" applyBorder="1"/>
    <xf numFmtId="171" fontId="0" fillId="2" borderId="97" xfId="1" applyNumberFormat="1" applyFont="1" applyFill="1" applyBorder="1" applyAlignment="1">
      <alignment vertical="center"/>
    </xf>
    <xf numFmtId="164" fontId="0" fillId="7" borderId="23" xfId="1" applyNumberFormat="1" applyFont="1" applyFill="1" applyBorder="1" applyAlignment="1">
      <alignment vertical="center"/>
    </xf>
    <xf numFmtId="171" fontId="0" fillId="2" borderId="65" xfId="1" applyNumberFormat="1" applyFont="1" applyFill="1" applyBorder="1" applyAlignment="1">
      <alignment horizontal="center" vertical="center"/>
    </xf>
    <xf numFmtId="171" fontId="0" fillId="2" borderId="67" xfId="1" applyNumberFormat="1" applyFont="1" applyFill="1" applyBorder="1" applyAlignment="1">
      <alignment horizontal="center" vertical="center"/>
    </xf>
    <xf numFmtId="171" fontId="8" fillId="2" borderId="45" xfId="4" applyNumberFormat="1" applyFont="1" applyFill="1" applyBorder="1" applyAlignment="1">
      <alignment horizontal="right" vertical="center"/>
    </xf>
    <xf numFmtId="171" fontId="0" fillId="2" borderId="22" xfId="1" applyNumberFormat="1" applyFont="1" applyFill="1" applyBorder="1" applyAlignment="1">
      <alignment horizontal="left"/>
    </xf>
    <xf numFmtId="171" fontId="0" fillId="5" borderId="22" xfId="1" applyNumberFormat="1" applyFont="1" applyFill="1" applyBorder="1" applyAlignment="1">
      <alignment horizontal="left"/>
    </xf>
    <xf numFmtId="14" fontId="0" fillId="2" borderId="2" xfId="0" applyNumberFormat="1" applyFill="1" applyBorder="1"/>
    <xf numFmtId="14" fontId="0" fillId="5" borderId="2" xfId="0" applyNumberFormat="1" applyFill="1" applyBorder="1"/>
    <xf numFmtId="180" fontId="0" fillId="2" borderId="2" xfId="0" applyNumberFormat="1" applyFill="1" applyBorder="1" applyAlignment="1">
      <alignment vertical="center"/>
    </xf>
    <xf numFmtId="180" fontId="3" fillId="2" borderId="2" xfId="1" applyNumberFormat="1" applyFont="1" applyFill="1" applyBorder="1" applyAlignment="1">
      <alignment vertical="center" wrapText="1"/>
    </xf>
    <xf numFmtId="180" fontId="0" fillId="2" borderId="2" xfId="0" applyNumberFormat="1" applyFill="1" applyBorder="1" applyAlignment="1">
      <alignment vertical="center" wrapText="1"/>
    </xf>
    <xf numFmtId="180" fontId="3" fillId="2" borderId="2" xfId="0" applyNumberFormat="1" applyFont="1" applyFill="1" applyBorder="1" applyAlignment="1">
      <alignment vertical="center" wrapText="1"/>
    </xf>
    <xf numFmtId="168" fontId="2" fillId="2" borderId="2" xfId="1" applyNumberFormat="1" applyFont="1" applyFill="1" applyBorder="1" applyAlignment="1">
      <alignment vertical="center" wrapText="1"/>
    </xf>
    <xf numFmtId="168" fontId="0" fillId="2" borderId="2" xfId="1" applyNumberFormat="1" applyFont="1" applyFill="1" applyBorder="1" applyAlignment="1">
      <alignment vertical="center" wrapText="1"/>
    </xf>
    <xf numFmtId="171" fontId="0" fillId="2" borderId="2" xfId="0" applyNumberFormat="1" applyFill="1" applyBorder="1" applyAlignment="1">
      <alignment vertical="center" wrapText="1"/>
    </xf>
    <xf numFmtId="180" fontId="3" fillId="7" borderId="2" xfId="0" applyNumberFormat="1" applyFont="1" applyFill="1" applyBorder="1" applyAlignment="1">
      <alignment vertical="center" wrapText="1"/>
    </xf>
    <xf numFmtId="171" fontId="16" fillId="2" borderId="2" xfId="1" applyNumberFormat="1" applyFont="1" applyFill="1" applyBorder="1" applyAlignment="1">
      <alignment vertical="center" wrapText="1"/>
    </xf>
    <xf numFmtId="166" fontId="16" fillId="2" borderId="2" xfId="1" applyFont="1" applyFill="1" applyBorder="1" applyAlignment="1">
      <alignment vertical="center" wrapText="1"/>
    </xf>
    <xf numFmtId="166" fontId="3" fillId="2" borderId="2" xfId="1" applyFont="1" applyFill="1" applyBorder="1" applyAlignment="1">
      <alignment vertical="center"/>
    </xf>
    <xf numFmtId="171" fontId="3" fillId="2" borderId="7" xfId="1" applyNumberFormat="1" applyFont="1" applyFill="1" applyBorder="1" applyAlignment="1">
      <alignment horizontal="right" vertical="center"/>
    </xf>
    <xf numFmtId="171" fontId="3" fillId="2" borderId="7" xfId="1" applyNumberFormat="1" applyFont="1" applyFill="1" applyBorder="1" applyAlignment="1">
      <alignment horizontal="center" vertical="center"/>
    </xf>
    <xf numFmtId="171" fontId="3" fillId="2" borderId="17" xfId="1" applyNumberFormat="1" applyFont="1" applyFill="1" applyBorder="1" applyAlignment="1">
      <alignment horizontal="right" vertical="center"/>
    </xf>
    <xf numFmtId="0" fontId="8" fillId="2" borderId="65" xfId="1" applyNumberFormat="1" applyFont="1" applyFill="1" applyBorder="1" applyAlignment="1">
      <alignment horizontal="center" vertical="center"/>
    </xf>
    <xf numFmtId="0" fontId="8" fillId="2" borderId="7" xfId="1" applyNumberFormat="1" applyFont="1" applyFill="1" applyBorder="1" applyAlignment="1">
      <alignment horizontal="center" vertical="center"/>
    </xf>
    <xf numFmtId="179" fontId="8" fillId="2" borderId="7" xfId="1" applyNumberFormat="1" applyFont="1" applyFill="1" applyBorder="1" applyAlignment="1">
      <alignment vertical="center"/>
    </xf>
    <xf numFmtId="179" fontId="8" fillId="2" borderId="6" xfId="1" applyNumberFormat="1" applyFont="1" applyFill="1" applyBorder="1" applyAlignment="1">
      <alignment horizontal="center" vertical="center"/>
    </xf>
    <xf numFmtId="179" fontId="8" fillId="2" borderId="73" xfId="1" applyNumberFormat="1" applyFont="1" applyFill="1" applyBorder="1" applyAlignment="1">
      <alignment vertical="center"/>
    </xf>
    <xf numFmtId="0" fontId="8" fillId="2" borderId="0" xfId="1" applyNumberFormat="1" applyFont="1" applyFill="1" applyBorder="1" applyAlignment="1">
      <alignment horizontal="center" vertical="center"/>
    </xf>
    <xf numFmtId="0" fontId="8" fillId="2" borderId="15" xfId="1" applyNumberFormat="1" applyFont="1" applyFill="1" applyBorder="1" applyAlignment="1">
      <alignment horizontal="center" vertical="center"/>
    </xf>
    <xf numFmtId="0" fontId="8" fillId="2" borderId="14" xfId="1" applyNumberFormat="1" applyFont="1" applyFill="1" applyBorder="1" applyAlignment="1">
      <alignment horizontal="center" vertical="center"/>
    </xf>
    <xf numFmtId="179" fontId="8" fillId="2" borderId="2" xfId="1" applyNumberFormat="1" applyFont="1" applyFill="1" applyBorder="1" applyAlignment="1">
      <alignment horizontal="center" vertical="center"/>
    </xf>
    <xf numFmtId="179" fontId="7" fillId="2" borderId="2" xfId="1" applyNumberFormat="1" applyFont="1" applyFill="1" applyBorder="1" applyAlignment="1">
      <alignment horizontal="center" vertical="center"/>
    </xf>
    <xf numFmtId="171" fontId="16" fillId="2" borderId="44" xfId="0" applyNumberFormat="1" applyFont="1" applyFill="1" applyBorder="1"/>
    <xf numFmtId="171" fontId="16" fillId="5" borderId="44" xfId="0" applyNumberFormat="1" applyFont="1" applyFill="1" applyBorder="1"/>
    <xf numFmtId="0" fontId="8" fillId="2" borderId="6" xfId="1" applyNumberFormat="1" applyFont="1" applyFill="1" applyBorder="1" applyAlignment="1">
      <alignment horizontal="center" vertical="center"/>
    </xf>
    <xf numFmtId="0" fontId="8" fillId="2" borderId="44" xfId="1" applyNumberFormat="1" applyFont="1" applyFill="1" applyBorder="1" applyAlignment="1">
      <alignment horizontal="center" vertical="center"/>
    </xf>
    <xf numFmtId="181" fontId="3" fillId="2" borderId="23" xfId="1" applyNumberFormat="1" applyFont="1" applyFill="1" applyBorder="1" applyAlignment="1">
      <alignment horizontal="center" vertical="center"/>
    </xf>
    <xf numFmtId="181" fontId="3" fillId="2" borderId="2" xfId="1" applyNumberFormat="1" applyFont="1" applyFill="1" applyBorder="1" applyAlignment="1">
      <alignment horizontal="center" vertical="center"/>
    </xf>
    <xf numFmtId="181" fontId="3" fillId="0" borderId="23" xfId="1" applyNumberFormat="1" applyFont="1" applyBorder="1" applyAlignment="1">
      <alignment horizontal="center" vertical="center"/>
    </xf>
    <xf numFmtId="181" fontId="3" fillId="0" borderId="44" xfId="1" applyNumberFormat="1" applyFont="1" applyBorder="1" applyAlignment="1">
      <alignment horizontal="center" vertical="center"/>
    </xf>
    <xf numFmtId="181" fontId="3" fillId="0" borderId="23" xfId="1" applyNumberFormat="1" applyFont="1" applyBorder="1" applyAlignment="1">
      <alignment horizontal="center" vertical="center" wrapText="1"/>
    </xf>
    <xf numFmtId="181" fontId="3" fillId="0" borderId="2" xfId="1" applyNumberFormat="1" applyFont="1" applyBorder="1" applyAlignment="1">
      <alignment horizontal="center" vertical="center" wrapText="1"/>
    </xf>
    <xf numFmtId="179" fontId="0" fillId="2" borderId="13" xfId="1" applyNumberFormat="1" applyFont="1" applyFill="1" applyBorder="1" applyAlignment="1">
      <alignment horizontal="right" vertical="center"/>
    </xf>
    <xf numFmtId="0" fontId="8" fillId="2" borderId="22" xfId="1" applyNumberFormat="1" applyFont="1" applyFill="1" applyBorder="1" applyAlignment="1">
      <alignment horizontal="right" vertical="center" wrapText="1"/>
    </xf>
    <xf numFmtId="0" fontId="8" fillId="2" borderId="22" xfId="0" applyFont="1" applyFill="1" applyBorder="1" applyAlignment="1">
      <alignment horizontal="center" vertical="center" wrapText="1"/>
    </xf>
    <xf numFmtId="168" fontId="0" fillId="3" borderId="2" xfId="0" applyNumberFormat="1" applyFill="1" applyBorder="1" applyAlignment="1">
      <alignment vertical="center"/>
    </xf>
    <xf numFmtId="0" fontId="8" fillId="2" borderId="2" xfId="1" applyNumberFormat="1" applyFont="1" applyFill="1" applyBorder="1" applyAlignment="1">
      <alignment horizontal="center" vertical="center" wrapText="1"/>
    </xf>
    <xf numFmtId="0" fontId="7" fillId="5" borderId="88" xfId="0" applyFont="1" applyFill="1" applyBorder="1"/>
    <xf numFmtId="164" fontId="0" fillId="0" borderId="2" xfId="0" applyNumberFormat="1" applyBorder="1"/>
    <xf numFmtId="179" fontId="0" fillId="2" borderId="2" xfId="1" applyNumberFormat="1" applyFont="1" applyFill="1" applyBorder="1" applyAlignment="1">
      <alignment vertical="center" wrapText="1"/>
    </xf>
    <xf numFmtId="179" fontId="0" fillId="7" borderId="2" xfId="1" applyNumberFormat="1" applyFont="1" applyFill="1" applyBorder="1" applyAlignment="1">
      <alignment vertical="center" wrapText="1"/>
    </xf>
    <xf numFmtId="0" fontId="8" fillId="11"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6" fillId="2" borderId="2" xfId="0" applyFont="1" applyFill="1" applyBorder="1" applyAlignment="1">
      <alignment horizontal="left" vertical="center"/>
    </xf>
    <xf numFmtId="0" fontId="7" fillId="2" borderId="9" xfId="0" applyFont="1" applyFill="1" applyBorder="1" applyAlignment="1">
      <alignment horizontal="left" vertical="center"/>
    </xf>
    <xf numFmtId="179" fontId="16" fillId="2" borderId="2" xfId="0" applyNumberFormat="1" applyFont="1" applyFill="1" applyBorder="1" applyAlignment="1">
      <alignment horizontal="right" vertical="center"/>
    </xf>
    <xf numFmtId="171" fontId="2" fillId="2" borderId="2" xfId="1" applyNumberFormat="1" applyFont="1" applyFill="1" applyBorder="1" applyAlignment="1">
      <alignment vertical="center" wrapText="1"/>
    </xf>
    <xf numFmtId="172" fontId="3" fillId="2" borderId="3" xfId="0" applyNumberFormat="1" applyFont="1" applyFill="1" applyBorder="1" applyAlignment="1">
      <alignment vertical="center"/>
    </xf>
    <xf numFmtId="172" fontId="3" fillId="2" borderId="4" xfId="0" applyNumberFormat="1" applyFont="1" applyFill="1" applyBorder="1" applyAlignment="1">
      <alignment vertical="center"/>
    </xf>
    <xf numFmtId="171" fontId="0" fillId="2" borderId="2" xfId="0" applyNumberFormat="1" applyFill="1" applyBorder="1" applyAlignment="1">
      <alignment horizontal="right" vertical="center"/>
    </xf>
    <xf numFmtId="171" fontId="0" fillId="7" borderId="2" xfId="0" applyNumberFormat="1" applyFill="1" applyBorder="1" applyAlignment="1">
      <alignment vertical="center"/>
    </xf>
    <xf numFmtId="164" fontId="3" fillId="7" borderId="2" xfId="0" applyNumberFormat="1" applyFont="1" applyFill="1" applyBorder="1" applyAlignment="1">
      <alignment vertical="center"/>
    </xf>
    <xf numFmtId="0" fontId="3" fillId="0" borderId="2" xfId="0" applyFont="1" applyBorder="1" applyAlignment="1">
      <alignment vertical="center" wrapText="1"/>
    </xf>
    <xf numFmtId="176" fontId="0" fillId="20" borderId="2" xfId="0" applyNumberFormat="1" applyFill="1" applyBorder="1" applyAlignment="1">
      <alignment vertical="center"/>
    </xf>
    <xf numFmtId="176" fontId="0" fillId="20" borderId="2" xfId="0" applyNumberFormat="1" applyFill="1" applyBorder="1" applyAlignment="1">
      <alignment horizontal="right" vertical="center"/>
    </xf>
    <xf numFmtId="176" fontId="8" fillId="2" borderId="9" xfId="4" applyNumberFormat="1" applyFont="1" applyFill="1" applyBorder="1" applyAlignment="1">
      <alignment horizontal="right" vertical="center"/>
    </xf>
    <xf numFmtId="176" fontId="8" fillId="10" borderId="9" xfId="4" applyNumberFormat="1" applyFont="1" applyFill="1" applyBorder="1" applyAlignment="1">
      <alignment horizontal="right" vertical="center"/>
    </xf>
    <xf numFmtId="164" fontId="0" fillId="2" borderId="17" xfId="0" applyNumberFormat="1" applyFill="1" applyBorder="1" applyAlignment="1">
      <alignment vertical="center" wrapText="1"/>
    </xf>
    <xf numFmtId="164" fontId="0" fillId="2" borderId="7" xfId="0" applyNumberFormat="1" applyFill="1" applyBorder="1" applyAlignment="1">
      <alignment vertical="center" wrapText="1"/>
    </xf>
    <xf numFmtId="164" fontId="0" fillId="2" borderId="13" xfId="0" applyNumberFormat="1" applyFill="1" applyBorder="1" applyAlignment="1">
      <alignment vertical="center" wrapText="1"/>
    </xf>
    <xf numFmtId="164" fontId="0" fillId="2" borderId="13" xfId="0" applyNumberFormat="1" applyFill="1" applyBorder="1" applyAlignment="1">
      <alignment vertical="center"/>
    </xf>
    <xf numFmtId="164" fontId="15" fillId="2" borderId="17" xfId="0" applyNumberFormat="1" applyFont="1" applyFill="1" applyBorder="1" applyAlignment="1">
      <alignment vertical="center"/>
    </xf>
    <xf numFmtId="164" fontId="15" fillId="2" borderId="7" xfId="0" applyNumberFormat="1" applyFont="1" applyFill="1" applyBorder="1" applyAlignment="1">
      <alignment vertical="center"/>
    </xf>
    <xf numFmtId="164" fontId="15" fillId="2" borderId="13" xfId="0" applyNumberFormat="1" applyFont="1" applyFill="1" applyBorder="1" applyAlignment="1">
      <alignment vertical="center"/>
    </xf>
    <xf numFmtId="0" fontId="4" fillId="2" borderId="15" xfId="0" applyFont="1" applyFill="1" applyBorder="1" applyAlignment="1">
      <alignment horizontal="center" vertical="center"/>
    </xf>
    <xf numFmtId="0" fontId="0" fillId="0" borderId="158" xfId="0" applyBorder="1" applyAlignment="1">
      <alignment vertical="center" wrapText="1"/>
    </xf>
    <xf numFmtId="0" fontId="0" fillId="0" borderId="158" xfId="0" applyBorder="1" applyAlignment="1">
      <alignment vertical="center"/>
    </xf>
    <xf numFmtId="164" fontId="0" fillId="0" borderId="158" xfId="0" applyNumberFormat="1" applyBorder="1" applyAlignment="1">
      <alignment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xf>
    <xf numFmtId="179" fontId="4" fillId="2" borderId="5" xfId="0" applyNumberFormat="1" applyFont="1" applyFill="1" applyBorder="1" applyAlignment="1">
      <alignment horizontal="center" vertical="center" wrapText="1"/>
    </xf>
    <xf numFmtId="179" fontId="8" fillId="2" borderId="7" xfId="4" applyNumberFormat="1" applyFont="1" applyFill="1" applyBorder="1" applyAlignment="1">
      <alignment vertical="center"/>
    </xf>
    <xf numFmtId="179" fontId="0" fillId="2" borderId="4" xfId="1" applyNumberFormat="1" applyFont="1" applyFill="1" applyBorder="1" applyAlignment="1">
      <alignment horizontal="right" vertical="center"/>
    </xf>
    <xf numFmtId="179" fontId="0" fillId="2" borderId="18" xfId="1" applyNumberFormat="1" applyFont="1" applyFill="1" applyBorder="1" applyAlignment="1">
      <alignment horizontal="right" vertical="center"/>
    </xf>
    <xf numFmtId="179" fontId="0" fillId="2" borderId="160" xfId="1" applyNumberFormat="1" applyFont="1" applyFill="1" applyBorder="1" applyAlignment="1">
      <alignment vertical="center"/>
    </xf>
    <xf numFmtId="179" fontId="0" fillId="2" borderId="44" xfId="1" applyNumberFormat="1" applyFont="1" applyFill="1" applyBorder="1" applyAlignment="1">
      <alignment vertical="center"/>
    </xf>
    <xf numFmtId="183" fontId="0" fillId="2" borderId="2" xfId="0" applyNumberFormat="1" applyFill="1" applyBorder="1"/>
    <xf numFmtId="183" fontId="0" fillId="5" borderId="2" xfId="0" applyNumberFormat="1" applyFill="1" applyBorder="1"/>
    <xf numFmtId="179" fontId="9" fillId="2" borderId="2" xfId="0" applyNumberFormat="1" applyFont="1" applyFill="1" applyBorder="1" applyAlignment="1">
      <alignment vertical="center" wrapText="1"/>
    </xf>
    <xf numFmtId="179" fontId="9" fillId="7" borderId="2" xfId="0" applyNumberFormat="1" applyFont="1" applyFill="1" applyBorder="1" applyAlignment="1">
      <alignment vertical="center" wrapText="1"/>
    </xf>
    <xf numFmtId="171" fontId="0" fillId="2" borderId="17" xfId="1" applyNumberFormat="1" applyFont="1" applyFill="1" applyBorder="1" applyAlignment="1">
      <alignment horizontal="center" vertical="center"/>
    </xf>
    <xf numFmtId="171" fontId="0" fillId="2" borderId="7" xfId="1" applyNumberFormat="1" applyFont="1" applyFill="1" applyBorder="1" applyAlignment="1">
      <alignment horizontal="center" vertical="center"/>
    </xf>
    <xf numFmtId="179" fontId="0" fillId="2" borderId="2" xfId="0" applyNumberFormat="1" applyFill="1" applyBorder="1" applyAlignment="1">
      <alignment horizontal="center" vertical="center"/>
    </xf>
    <xf numFmtId="179" fontId="0" fillId="5" borderId="2" xfId="0" applyNumberFormat="1" applyFill="1" applyBorder="1" applyAlignment="1">
      <alignment horizontal="right" vertical="center"/>
    </xf>
    <xf numFmtId="179" fontId="0" fillId="24" borderId="2" xfId="0" applyNumberFormat="1" applyFill="1" applyBorder="1" applyAlignment="1">
      <alignment vertical="center"/>
    </xf>
    <xf numFmtId="0" fontId="4" fillId="3" borderId="2" xfId="0" applyFont="1" applyFill="1" applyBorder="1" applyAlignment="1">
      <alignment vertical="center"/>
    </xf>
    <xf numFmtId="0" fontId="20" fillId="0" borderId="2" xfId="0" applyFont="1" applyBorder="1"/>
    <xf numFmtId="0" fontId="4" fillId="3" borderId="2" xfId="0" applyFont="1" applyFill="1" applyBorder="1" applyAlignment="1">
      <alignment horizontal="center"/>
    </xf>
    <xf numFmtId="0" fontId="7" fillId="5" borderId="2" xfId="0" applyFont="1" applyFill="1" applyBorder="1"/>
    <xf numFmtId="179" fontId="7" fillId="5" borderId="2" xfId="0" applyNumberFormat="1" applyFont="1" applyFill="1" applyBorder="1"/>
    <xf numFmtId="0" fontId="4" fillId="3" borderId="2" xfId="0" applyFont="1" applyFill="1" applyBorder="1"/>
    <xf numFmtId="0" fontId="60" fillId="3" borderId="2" xfId="0" applyFont="1" applyFill="1" applyBorder="1" applyAlignment="1">
      <alignment horizontal="center"/>
    </xf>
    <xf numFmtId="179" fontId="2" fillId="2" borderId="17" xfId="1" applyNumberFormat="1" applyFont="1" applyFill="1" applyBorder="1" applyAlignment="1">
      <alignment horizontal="right" vertical="center"/>
    </xf>
    <xf numFmtId="179" fontId="7" fillId="2" borderId="17" xfId="4" applyNumberFormat="1" applyFont="1" applyFill="1" applyBorder="1" applyAlignment="1">
      <alignment horizontal="right" vertical="center"/>
    </xf>
    <xf numFmtId="184" fontId="16" fillId="2" borderId="17" xfId="1" applyNumberFormat="1" applyFont="1" applyFill="1" applyBorder="1" applyAlignment="1">
      <alignment vertical="center"/>
    </xf>
    <xf numFmtId="184" fontId="16" fillId="28" borderId="17" xfId="1" applyNumberFormat="1" applyFont="1" applyFill="1" applyBorder="1" applyAlignment="1">
      <alignment vertical="center"/>
    </xf>
    <xf numFmtId="184" fontId="0" fillId="2" borderId="3" xfId="1" applyNumberFormat="1" applyFont="1" applyFill="1" applyBorder="1" applyAlignment="1">
      <alignment vertical="center"/>
    </xf>
    <xf numFmtId="184" fontId="16" fillId="2" borderId="115" xfId="1" applyNumberFormat="1" applyFont="1" applyFill="1" applyBorder="1" applyAlignment="1">
      <alignment vertical="center"/>
    </xf>
    <xf numFmtId="184" fontId="16" fillId="2" borderId="20" xfId="1" applyNumberFormat="1" applyFont="1" applyFill="1" applyBorder="1" applyAlignment="1">
      <alignment vertical="center"/>
    </xf>
    <xf numFmtId="168" fontId="4" fillId="2" borderId="9" xfId="1" applyNumberFormat="1" applyFont="1" applyFill="1" applyBorder="1" applyAlignment="1">
      <alignment vertical="center"/>
    </xf>
    <xf numFmtId="0" fontId="3" fillId="0" borderId="22" xfId="0" applyFont="1" applyBorder="1" applyAlignment="1">
      <alignment horizontal="center" vertical="center" wrapText="1"/>
    </xf>
    <xf numFmtId="0" fontId="3" fillId="0" borderId="95" xfId="0" applyFont="1" applyBorder="1" applyAlignment="1">
      <alignment horizontal="center" vertical="center" wrapText="1"/>
    </xf>
    <xf numFmtId="164" fontId="0" fillId="0" borderId="2" xfId="0" applyNumberFormat="1" applyBorder="1" applyAlignment="1">
      <alignment horizontal="center" vertical="center"/>
    </xf>
    <xf numFmtId="0" fontId="4" fillId="0" borderId="3" xfId="0" applyFont="1" applyBorder="1" applyAlignment="1">
      <alignment vertical="center"/>
    </xf>
    <xf numFmtId="166" fontId="4" fillId="0" borderId="3" xfId="1" applyFont="1" applyBorder="1" applyAlignment="1">
      <alignment vertical="center"/>
    </xf>
    <xf numFmtId="169" fontId="0" fillId="0" borderId="2" xfId="0" applyNumberFormat="1" applyBorder="1" applyAlignment="1">
      <alignment vertical="center"/>
    </xf>
    <xf numFmtId="169" fontId="0" fillId="0" borderId="2" xfId="0" applyNumberFormat="1" applyBorder="1" applyAlignment="1">
      <alignment horizontal="right" vertical="center"/>
    </xf>
    <xf numFmtId="169" fontId="0" fillId="0" borderId="7" xfId="0" applyNumberFormat="1" applyBorder="1" applyAlignment="1">
      <alignment horizontal="right" vertical="center"/>
    </xf>
    <xf numFmtId="169" fontId="0" fillId="0" borderId="3" xfId="0" applyNumberFormat="1" applyBorder="1" applyAlignment="1">
      <alignment vertical="center"/>
    </xf>
    <xf numFmtId="169" fontId="0" fillId="0" borderId="5" xfId="0" applyNumberFormat="1" applyBorder="1" applyAlignment="1">
      <alignment horizontal="right" vertical="center"/>
    </xf>
    <xf numFmtId="169" fontId="0" fillId="0" borderId="0" xfId="0" applyNumberFormat="1" applyAlignment="1">
      <alignment horizontal="right" vertical="center"/>
    </xf>
    <xf numFmtId="169" fontId="0" fillId="0" borderId="3" xfId="0" applyNumberFormat="1" applyBorder="1" applyAlignment="1">
      <alignment horizontal="left" vertical="center"/>
    </xf>
    <xf numFmtId="169" fontId="0" fillId="0" borderId="17" xfId="0" applyNumberFormat="1" applyBorder="1" applyAlignment="1">
      <alignment vertical="center"/>
    </xf>
    <xf numFmtId="169" fontId="0" fillId="0" borderId="15" xfId="0" applyNumberFormat="1" applyBorder="1" applyAlignment="1">
      <alignment vertical="center"/>
    </xf>
    <xf numFmtId="169" fontId="0" fillId="0" borderId="20" xfId="0" applyNumberFormat="1" applyBorder="1" applyAlignment="1">
      <alignment horizontal="right" vertical="center"/>
    </xf>
    <xf numFmtId="169" fontId="0" fillId="0" borderId="15" xfId="0" applyNumberFormat="1" applyBorder="1" applyAlignment="1">
      <alignment horizontal="left" vertical="center"/>
    </xf>
    <xf numFmtId="169" fontId="0" fillId="2" borderId="10" xfId="0" applyNumberFormat="1" applyFill="1" applyBorder="1" applyAlignment="1">
      <alignment vertical="center"/>
    </xf>
    <xf numFmtId="168" fontId="7" fillId="0" borderId="2" xfId="0" applyNumberFormat="1" applyFont="1" applyBorder="1" applyAlignment="1">
      <alignment vertical="center"/>
    </xf>
    <xf numFmtId="0" fontId="3" fillId="2" borderId="162" xfId="0" applyFont="1" applyFill="1" applyBorder="1" applyAlignment="1">
      <alignment horizontal="center" vertical="center"/>
    </xf>
    <xf numFmtId="0" fontId="3" fillId="2" borderId="22" xfId="0" applyFont="1" applyFill="1" applyBorder="1" applyAlignment="1">
      <alignment horizontal="center" vertical="center" wrapText="1"/>
    </xf>
    <xf numFmtId="0" fontId="0" fillId="2" borderId="44" xfId="0" applyFill="1" applyBorder="1"/>
    <xf numFmtId="0" fontId="0" fillId="5" borderId="44" xfId="0" applyFill="1" applyBorder="1"/>
    <xf numFmtId="0" fontId="0" fillId="2" borderId="0" xfId="0" applyFill="1" applyAlignment="1">
      <alignment vertical="center" wrapText="1"/>
    </xf>
    <xf numFmtId="0" fontId="0" fillId="2" borderId="7" xfId="0" applyFill="1" applyBorder="1" applyAlignment="1">
      <alignment vertical="center" textRotation="90"/>
    </xf>
    <xf numFmtId="0" fontId="0" fillId="2" borderId="0" xfId="1" applyNumberFormat="1" applyFont="1" applyFill="1" applyAlignment="1">
      <alignment horizontal="center" vertical="center"/>
    </xf>
    <xf numFmtId="0" fontId="0" fillId="2" borderId="48" xfId="1" applyNumberFormat="1" applyFont="1" applyFill="1" applyBorder="1" applyAlignment="1">
      <alignment horizontal="center" vertical="center"/>
    </xf>
    <xf numFmtId="16" fontId="0" fillId="2" borderId="2" xfId="0" applyNumberFormat="1" applyFill="1" applyBorder="1" applyAlignment="1">
      <alignment horizontal="center" vertical="center"/>
    </xf>
    <xf numFmtId="179" fontId="8" fillId="2" borderId="3" xfId="1" applyNumberFormat="1" applyFont="1" applyFill="1" applyBorder="1" applyAlignment="1">
      <alignment horizontal="center" vertical="center"/>
    </xf>
    <xf numFmtId="176" fontId="0" fillId="2" borderId="3" xfId="0" applyNumberFormat="1" applyFill="1" applyBorder="1" applyAlignment="1">
      <alignment horizontal="right" vertical="center"/>
    </xf>
    <xf numFmtId="0" fontId="0" fillId="2" borderId="3" xfId="1" applyNumberFormat="1" applyFont="1" applyFill="1" applyBorder="1" applyAlignment="1">
      <alignment horizontal="center" vertical="center"/>
    </xf>
    <xf numFmtId="166" fontId="0" fillId="14" borderId="2" xfId="1" applyFont="1" applyFill="1" applyBorder="1" applyAlignment="1">
      <alignment vertical="center"/>
    </xf>
    <xf numFmtId="17" fontId="0" fillId="2" borderId="2" xfId="1" applyNumberFormat="1" applyFont="1" applyFill="1" applyBorder="1" applyAlignment="1">
      <alignment horizontal="center" vertical="center"/>
    </xf>
    <xf numFmtId="171" fontId="0" fillId="2" borderId="2" xfId="1" applyNumberFormat="1" applyFont="1" applyFill="1" applyBorder="1" applyAlignment="1">
      <alignment horizontal="center" vertical="center"/>
    </xf>
    <xf numFmtId="0" fontId="0" fillId="2" borderId="13" xfId="0" applyFill="1" applyBorder="1" applyAlignment="1">
      <alignment horizontal="left" vertical="center" wrapText="1"/>
    </xf>
    <xf numFmtId="16" fontId="0" fillId="2" borderId="13" xfId="0" applyNumberFormat="1" applyFill="1" applyBorder="1" applyAlignment="1">
      <alignment horizontal="center" vertical="center"/>
    </xf>
    <xf numFmtId="0" fontId="0" fillId="2" borderId="14" xfId="0" applyFill="1" applyBorder="1" applyAlignment="1">
      <alignment horizontal="center" vertical="center" wrapText="1"/>
    </xf>
    <xf numFmtId="0" fontId="0" fillId="2" borderId="83" xfId="0" applyFill="1" applyBorder="1" applyAlignment="1">
      <alignment horizontal="center" vertical="center"/>
    </xf>
    <xf numFmtId="176" fontId="0" fillId="2" borderId="84" xfId="0" applyNumberFormat="1" applyFill="1" applyBorder="1" applyAlignment="1">
      <alignment horizontal="right" vertical="center"/>
    </xf>
    <xf numFmtId="0" fontId="0" fillId="2" borderId="21" xfId="0" applyFill="1" applyBorder="1" applyAlignment="1">
      <alignment horizontal="center" vertical="center"/>
    </xf>
    <xf numFmtId="0" fontId="0" fillId="2" borderId="13" xfId="1" applyNumberFormat="1" applyFont="1" applyFill="1" applyBorder="1" applyAlignment="1">
      <alignment horizontal="center" vertical="center"/>
    </xf>
    <xf numFmtId="0" fontId="0" fillId="2" borderId="84" xfId="1" applyNumberFormat="1" applyFont="1" applyFill="1" applyBorder="1" applyAlignment="1">
      <alignment horizontal="center" vertical="center"/>
    </xf>
    <xf numFmtId="17" fontId="0" fillId="2" borderId="2" xfId="1" applyNumberFormat="1" applyFont="1" applyFill="1" applyBorder="1" applyAlignment="1">
      <alignment horizontal="center" vertical="center" wrapText="1"/>
    </xf>
    <xf numFmtId="0" fontId="0" fillId="2" borderId="48" xfId="0" applyFill="1" applyBorder="1" applyAlignment="1">
      <alignment horizontal="center" vertical="center"/>
    </xf>
    <xf numFmtId="171" fontId="0" fillId="2" borderId="13" xfId="1" applyNumberFormat="1" applyFont="1" applyFill="1" applyBorder="1" applyAlignment="1">
      <alignment horizontal="right" vertical="center"/>
    </xf>
    <xf numFmtId="0" fontId="0" fillId="10" borderId="2" xfId="1" applyNumberFormat="1" applyFont="1" applyFill="1" applyBorder="1" applyAlignment="1">
      <alignment horizontal="center" vertical="center"/>
    </xf>
    <xf numFmtId="166" fontId="0" fillId="10" borderId="2" xfId="1" applyFont="1" applyFill="1" applyBorder="1" applyAlignment="1">
      <alignment vertical="center"/>
    </xf>
    <xf numFmtId="17" fontId="0" fillId="10" borderId="2" xfId="1" applyNumberFormat="1" applyFont="1" applyFill="1" applyBorder="1" applyAlignment="1">
      <alignment horizontal="center" vertical="center"/>
    </xf>
    <xf numFmtId="171" fontId="0" fillId="10" borderId="2" xfId="1" applyNumberFormat="1" applyFont="1" applyFill="1" applyBorder="1" applyAlignment="1">
      <alignment horizontal="right" vertical="center"/>
    </xf>
    <xf numFmtId="171" fontId="0" fillId="10" borderId="2" xfId="1" applyNumberFormat="1" applyFont="1" applyFill="1" applyBorder="1" applyAlignment="1">
      <alignment horizontal="center" vertical="center"/>
    </xf>
    <xf numFmtId="173" fontId="0" fillId="2" borderId="17" xfId="0" applyNumberFormat="1" applyFill="1" applyBorder="1" applyAlignment="1">
      <alignment horizontal="center" vertical="center"/>
    </xf>
    <xf numFmtId="166" fontId="0" fillId="2" borderId="48" xfId="1" applyFont="1" applyFill="1" applyBorder="1" applyAlignment="1">
      <alignment horizontal="center" vertical="center"/>
    </xf>
    <xf numFmtId="0" fontId="0" fillId="2" borderId="7" xfId="0" applyFill="1" applyBorder="1" applyAlignment="1">
      <alignment vertical="center"/>
    </xf>
    <xf numFmtId="17" fontId="0" fillId="2" borderId="7" xfId="1" applyNumberFormat="1" applyFont="1" applyFill="1" applyBorder="1" applyAlignment="1">
      <alignment horizontal="center" vertical="center"/>
    </xf>
    <xf numFmtId="17" fontId="0" fillId="2" borderId="17" xfId="1" applyNumberFormat="1" applyFont="1" applyFill="1" applyBorder="1" applyAlignment="1">
      <alignment horizontal="center" vertical="center" wrapText="1"/>
    </xf>
    <xf numFmtId="176" fontId="0" fillId="2" borderId="49" xfId="0" applyNumberFormat="1" applyFill="1" applyBorder="1" applyAlignment="1">
      <alignment horizontal="right" vertical="center"/>
    </xf>
    <xf numFmtId="17" fontId="0" fillId="10" borderId="17" xfId="1" applyNumberFormat="1" applyFont="1" applyFill="1" applyBorder="1" applyAlignment="1">
      <alignment horizontal="center" vertical="center" wrapText="1"/>
    </xf>
    <xf numFmtId="0" fontId="0" fillId="10" borderId="17" xfId="1" applyNumberFormat="1" applyFont="1" applyFill="1" applyBorder="1" applyAlignment="1">
      <alignment horizontal="center" vertical="center"/>
    </xf>
    <xf numFmtId="171" fontId="0" fillId="10" borderId="17" xfId="1" applyNumberFormat="1" applyFont="1" applyFill="1" applyBorder="1" applyAlignment="1">
      <alignment horizontal="right" vertical="center"/>
    </xf>
    <xf numFmtId="171" fontId="0" fillId="10" borderId="17" xfId="1" applyNumberFormat="1" applyFont="1" applyFill="1" applyBorder="1" applyAlignment="1">
      <alignment horizontal="center" vertical="center"/>
    </xf>
    <xf numFmtId="171" fontId="0" fillId="10" borderId="17" xfId="1" applyNumberFormat="1" applyFont="1" applyFill="1" applyBorder="1" applyAlignment="1">
      <alignment vertical="center"/>
    </xf>
    <xf numFmtId="176" fontId="0" fillId="2" borderId="48" xfId="1" applyNumberFormat="1" applyFont="1" applyFill="1" applyBorder="1" applyAlignment="1">
      <alignment horizontal="right" vertical="center"/>
    </xf>
    <xf numFmtId="171" fontId="0" fillId="2" borderId="98" xfId="1" applyNumberFormat="1" applyFont="1" applyFill="1" applyBorder="1" applyAlignment="1">
      <alignment vertical="center"/>
    </xf>
    <xf numFmtId="166" fontId="0" fillId="2" borderId="64" xfId="1" applyFont="1" applyFill="1" applyBorder="1" applyAlignment="1">
      <alignment horizontal="center" vertical="center"/>
    </xf>
    <xf numFmtId="0" fontId="0" fillId="2" borderId="64" xfId="1" applyNumberFormat="1" applyFont="1" applyFill="1" applyBorder="1" applyAlignment="1">
      <alignment horizontal="center" vertical="center"/>
    </xf>
    <xf numFmtId="0" fontId="0" fillId="2" borderId="2" xfId="1" applyNumberFormat="1"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50" xfId="0" applyFill="1" applyBorder="1" applyAlignment="1">
      <alignment horizontal="center" vertical="center"/>
    </xf>
    <xf numFmtId="176" fontId="0" fillId="2" borderId="51" xfId="0" applyNumberFormat="1" applyFill="1" applyBorder="1" applyAlignment="1">
      <alignment horizontal="right" vertical="center"/>
    </xf>
    <xf numFmtId="0" fontId="0" fillId="2" borderId="20" xfId="0" applyFill="1" applyBorder="1" applyAlignment="1">
      <alignment horizontal="center" vertical="center"/>
    </xf>
    <xf numFmtId="166" fontId="0" fillId="14" borderId="98" xfId="1" applyFont="1" applyFill="1" applyBorder="1" applyAlignment="1">
      <alignment vertical="center"/>
    </xf>
    <xf numFmtId="17" fontId="0" fillId="2" borderId="98" xfId="1" applyNumberFormat="1" applyFont="1" applyFill="1" applyBorder="1" applyAlignment="1">
      <alignment horizontal="center" vertical="center" wrapText="1"/>
    </xf>
    <xf numFmtId="0" fontId="0" fillId="2" borderId="98" xfId="1" applyNumberFormat="1" applyFont="1" applyFill="1" applyBorder="1" applyAlignment="1">
      <alignment horizontal="center" vertical="center"/>
    </xf>
    <xf numFmtId="171" fontId="0" fillId="2" borderId="98" xfId="1" applyNumberFormat="1" applyFont="1" applyFill="1" applyBorder="1" applyAlignment="1">
      <alignment horizontal="right" vertical="center"/>
    </xf>
    <xf numFmtId="171" fontId="0" fillId="2" borderId="98" xfId="1" applyNumberFormat="1" applyFont="1" applyFill="1" applyBorder="1" applyAlignment="1">
      <alignment horizontal="center" vertical="center"/>
    </xf>
    <xf numFmtId="166" fontId="0" fillId="14" borderId="13" xfId="1" applyFont="1" applyFill="1" applyBorder="1" applyAlignment="1">
      <alignment vertical="center"/>
    </xf>
    <xf numFmtId="0" fontId="0" fillId="2" borderId="17" xfId="0" applyFill="1" applyBorder="1" applyAlignment="1">
      <alignment horizontal="left" vertical="center" wrapText="1"/>
    </xf>
    <xf numFmtId="166" fontId="0" fillId="14" borderId="7" xfId="1" applyFont="1" applyFill="1" applyBorder="1" applyAlignment="1">
      <alignment vertical="center"/>
    </xf>
    <xf numFmtId="166" fontId="0" fillId="2" borderId="7" xfId="1" applyFont="1" applyFill="1" applyBorder="1" applyAlignment="1">
      <alignment horizontal="center" vertical="center"/>
    </xf>
    <xf numFmtId="0" fontId="0" fillId="2" borderId="3" xfId="0" applyFill="1" applyBorder="1"/>
    <xf numFmtId="0" fontId="0" fillId="0" borderId="44" xfId="0" applyBorder="1"/>
    <xf numFmtId="17" fontId="0" fillId="2" borderId="0" xfId="1" applyNumberFormat="1" applyFont="1" applyFill="1" applyAlignment="1">
      <alignment horizontal="center" vertical="center"/>
    </xf>
    <xf numFmtId="0" fontId="0" fillId="2" borderId="7" xfId="1" applyNumberFormat="1" applyFont="1" applyFill="1" applyBorder="1" applyAlignment="1">
      <alignment horizontal="center" vertical="center" wrapText="1"/>
    </xf>
    <xf numFmtId="0" fontId="0" fillId="2" borderId="9" xfId="1" applyNumberFormat="1" applyFont="1" applyFill="1" applyBorder="1" applyAlignment="1">
      <alignment horizontal="center" vertical="center"/>
    </xf>
    <xf numFmtId="0" fontId="10" fillId="0" borderId="2" xfId="0" applyFont="1" applyBorder="1" applyAlignment="1">
      <alignment horizontal="center" vertical="center"/>
    </xf>
    <xf numFmtId="0" fontId="9" fillId="0" borderId="9" xfId="0" applyFont="1" applyBorder="1" applyAlignment="1">
      <alignment vertical="center"/>
    </xf>
    <xf numFmtId="179" fontId="8" fillId="10" borderId="7" xfId="4" applyNumberFormat="1" applyFont="1" applyFill="1" applyBorder="1" applyAlignment="1">
      <alignment vertical="center"/>
    </xf>
    <xf numFmtId="179" fontId="8" fillId="7" borderId="17" xfId="4" applyNumberFormat="1" applyFont="1" applyFill="1" applyBorder="1" applyAlignment="1">
      <alignment vertical="center"/>
    </xf>
    <xf numFmtId="0" fontId="4" fillId="2" borderId="2" xfId="0" applyFont="1" applyFill="1" applyBorder="1" applyAlignment="1">
      <alignment horizontal="left" vertical="center"/>
    </xf>
    <xf numFmtId="0" fontId="0" fillId="0" borderId="27" xfId="0" applyBorder="1" applyAlignment="1">
      <alignment vertical="center"/>
    </xf>
    <xf numFmtId="0" fontId="0" fillId="0" borderId="39" xfId="0" applyBorder="1" applyAlignment="1">
      <alignment vertical="center"/>
    </xf>
    <xf numFmtId="0" fontId="0" fillId="0" borderId="108" xfId="0" applyBorder="1" applyAlignment="1">
      <alignment vertical="center"/>
    </xf>
    <xf numFmtId="16" fontId="0" fillId="0" borderId="3" xfId="0" applyNumberFormat="1" applyBorder="1" applyAlignment="1">
      <alignment horizontal="center" vertical="center"/>
    </xf>
    <xf numFmtId="16" fontId="0" fillId="2" borderId="3" xfId="0" applyNumberFormat="1" applyFill="1" applyBorder="1" applyAlignment="1">
      <alignment horizontal="center" vertical="center"/>
    </xf>
    <xf numFmtId="0" fontId="0" fillId="2" borderId="23" xfId="0" applyFill="1" applyBorder="1" applyAlignment="1">
      <alignment horizontal="right" vertical="center"/>
    </xf>
    <xf numFmtId="0" fontId="0" fillId="2" borderId="23" xfId="0" applyFill="1" applyBorder="1" applyAlignment="1">
      <alignment horizontal="center" vertical="center"/>
    </xf>
    <xf numFmtId="14" fontId="0" fillId="2" borderId="2" xfId="0" applyNumberFormat="1" applyFill="1" applyBorder="1" applyAlignment="1">
      <alignment vertical="center"/>
    </xf>
    <xf numFmtId="14" fontId="0" fillId="2" borderId="17" xfId="0" applyNumberFormat="1" applyFill="1" applyBorder="1" applyAlignment="1">
      <alignment vertical="center"/>
    </xf>
    <xf numFmtId="0" fontId="0" fillId="2" borderId="15" xfId="0" applyFill="1" applyBorder="1" applyAlignment="1">
      <alignment horizontal="center" vertical="center"/>
    </xf>
    <xf numFmtId="0" fontId="0" fillId="2" borderId="52" xfId="0" applyFill="1" applyBorder="1" applyAlignment="1">
      <alignment horizontal="center" vertical="center"/>
    </xf>
    <xf numFmtId="14" fontId="0" fillId="26" borderId="17" xfId="0" applyNumberFormat="1" applyFill="1" applyBorder="1" applyAlignment="1">
      <alignment vertical="center"/>
    </xf>
    <xf numFmtId="0" fontId="0" fillId="26" borderId="15" xfId="0" applyFill="1" applyBorder="1" applyAlignment="1">
      <alignment horizontal="center" vertical="center"/>
    </xf>
    <xf numFmtId="0" fontId="0" fillId="26" borderId="52" xfId="0" applyFill="1" applyBorder="1" applyAlignment="1">
      <alignment horizontal="center" vertical="center"/>
    </xf>
    <xf numFmtId="14" fontId="0" fillId="2" borderId="9" xfId="0" applyNumberFormat="1" applyFill="1" applyBorder="1" applyAlignment="1">
      <alignment vertical="center"/>
    </xf>
    <xf numFmtId="0" fontId="4" fillId="0" borderId="2" xfId="0" applyFont="1" applyBorder="1" applyAlignment="1">
      <alignment vertical="center"/>
    </xf>
    <xf numFmtId="179" fontId="7" fillId="7" borderId="2" xfId="0" applyNumberFormat="1" applyFont="1" applyFill="1" applyBorder="1" applyAlignment="1">
      <alignment horizontal="right"/>
    </xf>
    <xf numFmtId="179" fontId="7" fillId="7" borderId="2" xfId="1" applyNumberFormat="1" applyFont="1" applyFill="1" applyBorder="1" applyAlignment="1">
      <alignment horizontal="right"/>
    </xf>
    <xf numFmtId="0" fontId="3" fillId="0" borderId="166" xfId="0" applyFont="1" applyBorder="1" applyAlignment="1">
      <alignment vertical="center"/>
    </xf>
    <xf numFmtId="0" fontId="3" fillId="0" borderId="167" xfId="0" applyFont="1" applyBorder="1" applyAlignment="1">
      <alignment vertical="center"/>
    </xf>
    <xf numFmtId="168" fontId="3" fillId="0" borderId="168" xfId="1" applyNumberFormat="1" applyFont="1" applyBorder="1" applyAlignment="1">
      <alignment vertical="center"/>
    </xf>
    <xf numFmtId="168" fontId="3" fillId="0" borderId="169" xfId="1" applyNumberFormat="1" applyFont="1" applyBorder="1" applyAlignment="1">
      <alignment vertical="center"/>
    </xf>
    <xf numFmtId="168" fontId="3" fillId="0" borderId="170" xfId="0" applyNumberFormat="1" applyFont="1" applyBorder="1" applyAlignment="1">
      <alignment vertical="center"/>
    </xf>
    <xf numFmtId="168" fontId="3" fillId="28" borderId="170" xfId="0" applyNumberFormat="1" applyFont="1" applyFill="1" applyBorder="1" applyAlignment="1">
      <alignment vertical="center"/>
    </xf>
    <xf numFmtId="168" fontId="3" fillId="28" borderId="171" xfId="0" applyNumberFormat="1" applyFont="1" applyFill="1" applyBorder="1" applyAlignment="1">
      <alignment vertical="center"/>
    </xf>
    <xf numFmtId="0" fontId="7" fillId="2" borderId="2" xfId="0" applyFont="1" applyFill="1" applyBorder="1" applyAlignment="1">
      <alignment horizontal="center" vertical="center" wrapText="1"/>
    </xf>
    <xf numFmtId="171" fontId="3" fillId="2" borderId="121" xfId="1" applyNumberFormat="1" applyFont="1" applyFill="1" applyBorder="1" applyAlignment="1">
      <alignment horizontal="center" vertical="center"/>
    </xf>
    <xf numFmtId="171" fontId="8" fillId="10" borderId="9" xfId="4" applyNumberFormat="1" applyFont="1" applyFill="1" applyBorder="1" applyAlignment="1" applyProtection="1">
      <alignment horizontal="right" vertical="center"/>
      <protection locked="0"/>
    </xf>
    <xf numFmtId="168" fontId="8" fillId="10" borderId="9" xfId="4" applyNumberFormat="1" applyFont="1" applyFill="1" applyBorder="1" applyAlignment="1">
      <alignment horizontal="right" vertical="center"/>
    </xf>
    <xf numFmtId="166" fontId="8" fillId="10" borderId="9" xfId="4" applyNumberFormat="1" applyFont="1" applyFill="1" applyBorder="1" applyAlignment="1">
      <alignment horizontal="right" vertical="center" wrapText="1"/>
    </xf>
    <xf numFmtId="179" fontId="8" fillId="10" borderId="118" xfId="4" applyNumberFormat="1" applyFont="1" applyFill="1" applyBorder="1" applyAlignment="1">
      <alignment vertical="center"/>
    </xf>
    <xf numFmtId="179" fontId="8" fillId="10" borderId="9" xfId="4" applyNumberFormat="1" applyFont="1" applyFill="1" applyBorder="1"/>
    <xf numFmtId="168" fontId="2" fillId="28" borderId="106" xfId="1" applyNumberFormat="1" applyFont="1" applyFill="1" applyBorder="1" applyAlignment="1">
      <alignment vertical="center"/>
    </xf>
    <xf numFmtId="168" fontId="2" fillId="19" borderId="106" xfId="1" applyNumberFormat="1" applyFont="1" applyFill="1" applyBorder="1" applyAlignment="1">
      <alignment vertical="center"/>
    </xf>
    <xf numFmtId="168" fontId="30" fillId="28" borderId="106" xfId="4" applyNumberFormat="1" applyFont="1" applyFill="1" applyBorder="1" applyAlignment="1">
      <alignment vertical="center"/>
    </xf>
    <xf numFmtId="168" fontId="30" fillId="28" borderId="136" xfId="4" applyNumberFormat="1" applyFont="1" applyFill="1" applyBorder="1" applyAlignment="1">
      <alignment vertical="center"/>
    </xf>
    <xf numFmtId="168" fontId="30" fillId="28" borderId="138" xfId="4" applyNumberFormat="1" applyFont="1" applyFill="1" applyBorder="1" applyAlignment="1">
      <alignment vertical="center"/>
    </xf>
    <xf numFmtId="168" fontId="62" fillId="2" borderId="7" xfId="1" applyNumberFormat="1" applyFont="1" applyFill="1" applyBorder="1" applyAlignment="1">
      <alignment vertical="center"/>
    </xf>
    <xf numFmtId="164" fontId="0" fillId="7" borderId="2" xfId="0" applyNumberFormat="1" applyFill="1" applyBorder="1" applyAlignment="1">
      <alignment vertical="center"/>
    </xf>
    <xf numFmtId="0" fontId="0" fillId="0" borderId="9" xfId="0" applyBorder="1" applyAlignment="1">
      <alignment horizontal="right" vertical="center" wrapText="1"/>
    </xf>
    <xf numFmtId="0" fontId="54" fillId="2" borderId="2" xfId="0" applyFont="1" applyFill="1" applyBorder="1" applyAlignment="1">
      <alignment horizontal="center" vertical="center"/>
    </xf>
    <xf numFmtId="0" fontId="54" fillId="2" borderId="1" xfId="0" applyFont="1" applyFill="1" applyBorder="1" applyAlignment="1">
      <alignment vertical="center"/>
    </xf>
    <xf numFmtId="0" fontId="1" fillId="2" borderId="4" xfId="0" applyFont="1" applyFill="1" applyBorder="1" applyAlignment="1">
      <alignment vertical="center" wrapText="1"/>
    </xf>
    <xf numFmtId="0" fontId="55" fillId="2" borderId="4" xfId="0" applyFont="1" applyFill="1" applyBorder="1" applyAlignment="1" applyProtection="1">
      <alignment horizontal="center" vertical="center" wrapText="1"/>
      <protection locked="0"/>
    </xf>
    <xf numFmtId="0" fontId="0" fillId="2" borderId="96" xfId="0" applyFill="1" applyBorder="1" applyAlignment="1">
      <alignment horizontal="center" vertical="center" wrapText="1"/>
    </xf>
    <xf numFmtId="0" fontId="0" fillId="2" borderId="95" xfId="0" applyFill="1" applyBorder="1" applyAlignment="1">
      <alignment horizontal="center" vertical="center" wrapText="1"/>
    </xf>
    <xf numFmtId="180" fontId="54" fillId="2" borderId="96" xfId="1" applyNumberFormat="1" applyFont="1" applyFill="1" applyBorder="1" applyAlignment="1">
      <alignment horizontal="center" vertical="center"/>
    </xf>
    <xf numFmtId="180" fontId="0" fillId="2" borderId="2" xfId="1" applyNumberFormat="1" applyFont="1" applyFill="1" applyBorder="1" applyAlignment="1">
      <alignment horizontal="center" vertical="center"/>
    </xf>
    <xf numFmtId="0" fontId="0" fillId="2" borderId="119" xfId="0" applyFill="1" applyBorder="1" applyAlignment="1">
      <alignment horizontal="left" vertical="center"/>
    </xf>
    <xf numFmtId="180" fontId="0" fillId="2" borderId="96" xfId="0" applyNumberFormat="1" applyFill="1" applyBorder="1" applyAlignment="1">
      <alignment vertical="center" wrapText="1"/>
    </xf>
    <xf numFmtId="0" fontId="0" fillId="2" borderId="4" xfId="0" applyFill="1" applyBorder="1" applyAlignment="1">
      <alignment horizontal="left" vertical="center"/>
    </xf>
    <xf numFmtId="0" fontId="0" fillId="2" borderId="4" xfId="0" applyFill="1" applyBorder="1" applyAlignment="1">
      <alignment vertical="center" wrapText="1"/>
    </xf>
    <xf numFmtId="180" fontId="0" fillId="2" borderId="99" xfId="1" applyNumberFormat="1" applyFont="1" applyFill="1" applyBorder="1" applyAlignment="1">
      <alignment vertical="center"/>
    </xf>
    <xf numFmtId="180" fontId="0" fillId="2" borderId="129" xfId="1" applyNumberFormat="1" applyFont="1" applyFill="1" applyBorder="1" applyAlignment="1">
      <alignment vertical="center"/>
    </xf>
    <xf numFmtId="0" fontId="0" fillId="2" borderId="142" xfId="0" applyFill="1" applyBorder="1" applyAlignment="1">
      <alignment vertical="center"/>
    </xf>
    <xf numFmtId="0" fontId="0" fillId="2" borderId="151" xfId="0" applyFill="1" applyBorder="1" applyAlignment="1" applyProtection="1">
      <alignment vertical="center"/>
      <protection locked="0"/>
    </xf>
    <xf numFmtId="0" fontId="0" fillId="7" borderId="5" xfId="0" applyFill="1" applyBorder="1"/>
    <xf numFmtId="0" fontId="0" fillId="0" borderId="5" xfId="0" applyBorder="1"/>
    <xf numFmtId="0" fontId="0" fillId="30" borderId="5" xfId="0" applyFill="1" applyBorder="1"/>
    <xf numFmtId="0" fontId="0" fillId="29" borderId="0" xfId="0" applyFill="1" applyAlignment="1">
      <alignment vertical="center"/>
    </xf>
    <xf numFmtId="0" fontId="0" fillId="2" borderId="148" xfId="0" applyFill="1" applyBorder="1" applyAlignment="1">
      <alignment vertical="center"/>
    </xf>
    <xf numFmtId="0" fontId="0" fillId="2" borderId="10" xfId="0" applyFill="1" applyBorder="1" applyAlignment="1">
      <alignment vertical="center"/>
    </xf>
    <xf numFmtId="0" fontId="62" fillId="31" borderId="2" xfId="0" applyFont="1" applyFill="1" applyBorder="1" applyAlignment="1">
      <alignment horizontal="center" vertical="center"/>
    </xf>
    <xf numFmtId="0" fontId="62" fillId="31" borderId="23" xfId="0" applyFont="1" applyFill="1" applyBorder="1" applyAlignment="1">
      <alignment horizontal="center" vertical="center"/>
    </xf>
    <xf numFmtId="0" fontId="62" fillId="31" borderId="2" xfId="1" applyNumberFormat="1" applyFont="1" applyFill="1" applyBorder="1" applyAlignment="1">
      <alignment horizontal="center" vertical="center" wrapText="1"/>
    </xf>
    <xf numFmtId="0" fontId="62" fillId="31" borderId="2" xfId="0" applyFont="1" applyFill="1" applyBorder="1" applyAlignment="1">
      <alignment horizontal="center" vertical="center" wrapText="1"/>
    </xf>
    <xf numFmtId="0" fontId="62" fillId="31" borderId="2" xfId="1" applyNumberFormat="1" applyFont="1" applyFill="1" applyBorder="1" applyAlignment="1">
      <alignment horizontal="center" vertical="center"/>
    </xf>
    <xf numFmtId="0" fontId="62" fillId="31" borderId="2" xfId="0" applyFont="1" applyFill="1" applyBorder="1" applyAlignment="1">
      <alignment horizontal="center"/>
    </xf>
    <xf numFmtId="0" fontId="63" fillId="31" borderId="2" xfId="0" applyFont="1" applyFill="1" applyBorder="1" applyAlignment="1">
      <alignment horizontal="center" vertical="center"/>
    </xf>
    <xf numFmtId="0" fontId="32" fillId="31" borderId="2" xfId="0" applyFont="1" applyFill="1" applyBorder="1" applyAlignment="1">
      <alignment horizontal="center" vertical="center"/>
    </xf>
    <xf numFmtId="181" fontId="4" fillId="27" borderId="2" xfId="1" applyNumberFormat="1" applyFont="1" applyFill="1" applyBorder="1" applyAlignment="1">
      <alignment horizontal="center" vertical="center"/>
    </xf>
    <xf numFmtId="0" fontId="62" fillId="31" borderId="2" xfId="0" applyFont="1" applyFill="1" applyBorder="1"/>
    <xf numFmtId="180" fontId="4" fillId="2" borderId="4" xfId="1" applyNumberFormat="1" applyFont="1" applyFill="1" applyBorder="1" applyAlignment="1">
      <alignment horizontal="left" vertical="center"/>
    </xf>
    <xf numFmtId="0" fontId="54" fillId="2" borderId="2" xfId="1" applyNumberFormat="1" applyFont="1" applyFill="1" applyBorder="1" applyAlignment="1">
      <alignment horizontal="center" vertical="center" wrapText="1"/>
    </xf>
    <xf numFmtId="180" fontId="0" fillId="2" borderId="4" xfId="1" applyNumberFormat="1" applyFont="1" applyFill="1" applyBorder="1" applyAlignment="1">
      <alignment horizontal="right" vertical="center"/>
    </xf>
    <xf numFmtId="180" fontId="0" fillId="2" borderId="147" xfId="1" applyNumberFormat="1" applyFont="1" applyFill="1" applyBorder="1" applyAlignment="1">
      <alignment horizontal="right" vertical="center"/>
    </xf>
    <xf numFmtId="180" fontId="0" fillId="2" borderId="1" xfId="1" applyNumberFormat="1" applyFont="1" applyFill="1" applyBorder="1" applyAlignment="1">
      <alignment horizontal="right" vertical="center"/>
    </xf>
    <xf numFmtId="171" fontId="4" fillId="2" borderId="2" xfId="1" applyNumberFormat="1" applyFont="1" applyFill="1" applyBorder="1" applyAlignment="1">
      <alignment horizontal="right" vertical="center" wrapText="1"/>
    </xf>
    <xf numFmtId="171" fontId="4" fillId="0" borderId="2" xfId="1" applyNumberFormat="1" applyFont="1" applyBorder="1" applyAlignment="1">
      <alignment horizontal="right" vertical="center" wrapText="1"/>
    </xf>
    <xf numFmtId="171" fontId="7" fillId="2" borderId="2" xfId="1" applyNumberFormat="1" applyFont="1" applyFill="1" applyBorder="1" applyAlignment="1">
      <alignment horizontal="right" vertical="center" wrapText="1"/>
    </xf>
    <xf numFmtId="171" fontId="7" fillId="0" borderId="2" xfId="1" applyNumberFormat="1" applyFont="1" applyBorder="1" applyAlignment="1">
      <alignment horizontal="right" vertical="center" wrapText="1"/>
    </xf>
    <xf numFmtId="171" fontId="16" fillId="0" borderId="2" xfId="1" applyNumberFormat="1" applyFont="1" applyBorder="1" applyAlignment="1">
      <alignment horizontal="right" vertical="center" wrapText="1"/>
    </xf>
    <xf numFmtId="171" fontId="16" fillId="2" borderId="2" xfId="1" applyNumberFormat="1" applyFont="1" applyFill="1" applyBorder="1" applyAlignment="1">
      <alignment horizontal="right" vertical="center" wrapText="1"/>
    </xf>
    <xf numFmtId="171" fontId="4" fillId="2" borderId="3" xfId="1" applyNumberFormat="1" applyFont="1" applyFill="1" applyBorder="1" applyAlignment="1">
      <alignment horizontal="right" vertical="center" wrapText="1"/>
    </xf>
    <xf numFmtId="171" fontId="4" fillId="0" borderId="3" xfId="1" applyNumberFormat="1" applyFont="1" applyBorder="1" applyAlignment="1">
      <alignment horizontal="right" vertical="center" wrapText="1"/>
    </xf>
    <xf numFmtId="166" fontId="16" fillId="2" borderId="2" xfId="1" applyFont="1" applyFill="1" applyBorder="1" applyAlignment="1">
      <alignment horizontal="right" vertical="center" wrapText="1"/>
    </xf>
    <xf numFmtId="171" fontId="3" fillId="0" borderId="9" xfId="1" applyNumberFormat="1" applyFont="1" applyBorder="1" applyAlignment="1">
      <alignment horizontal="right"/>
    </xf>
    <xf numFmtId="171" fontId="0" fillId="2" borderId="10" xfId="1" applyNumberFormat="1" applyFont="1" applyFill="1" applyBorder="1" applyAlignment="1">
      <alignment horizontal="right" vertical="center"/>
    </xf>
    <xf numFmtId="0" fontId="4" fillId="0" borderId="14" xfId="0" applyFont="1" applyBorder="1" applyAlignment="1">
      <alignment vertical="center"/>
    </xf>
    <xf numFmtId="166" fontId="4" fillId="0" borderId="14" xfId="1" applyFont="1" applyBorder="1" applyAlignment="1">
      <alignment horizontal="center" vertical="center"/>
    </xf>
    <xf numFmtId="0" fontId="4" fillId="0" borderId="13" xfId="0" applyFont="1" applyBorder="1" applyAlignment="1">
      <alignment horizontal="center" vertical="center"/>
    </xf>
    <xf numFmtId="0" fontId="62" fillId="31" borderId="13" xfId="0" applyFont="1" applyFill="1" applyBorder="1" applyAlignment="1">
      <alignment horizontal="center" vertical="center"/>
    </xf>
    <xf numFmtId="171" fontId="0" fillId="2" borderId="3" xfId="1" applyNumberFormat="1" applyFont="1" applyFill="1" applyBorder="1" applyAlignment="1">
      <alignment horizontal="right" vertical="center" wrapText="1"/>
    </xf>
    <xf numFmtId="171" fontId="62" fillId="31" borderId="177" xfId="1" applyNumberFormat="1" applyFont="1" applyFill="1" applyBorder="1" applyAlignment="1">
      <alignment horizontal="center" vertical="center"/>
    </xf>
    <xf numFmtId="0" fontId="8" fillId="2" borderId="177" xfId="0" applyFont="1" applyFill="1" applyBorder="1" applyAlignment="1">
      <alignment horizontal="center" vertical="center" wrapText="1"/>
    </xf>
    <xf numFmtId="0" fontId="3" fillId="2" borderId="50" xfId="0" applyFont="1" applyFill="1" applyBorder="1" applyAlignment="1">
      <alignment horizontal="center" vertical="center" wrapText="1"/>
    </xf>
    <xf numFmtId="171" fontId="8" fillId="2" borderId="177" xfId="1" applyNumberFormat="1" applyFont="1" applyFill="1" applyBorder="1" applyAlignment="1">
      <alignment horizontal="center" vertical="center" wrapText="1"/>
    </xf>
    <xf numFmtId="0" fontId="3" fillId="15" borderId="47" xfId="0" applyFont="1" applyFill="1" applyBorder="1" applyAlignment="1">
      <alignment horizontal="left" vertical="center" wrapText="1"/>
    </xf>
    <xf numFmtId="0" fontId="3" fillId="2" borderId="0" xfId="0" applyFont="1" applyFill="1" applyAlignment="1">
      <alignment vertical="center"/>
    </xf>
    <xf numFmtId="179" fontId="8" fillId="7" borderId="177" xfId="1" applyNumberFormat="1" applyFont="1" applyFill="1" applyBorder="1" applyAlignment="1">
      <alignment vertical="center"/>
    </xf>
    <xf numFmtId="0" fontId="0" fillId="2" borderId="47" xfId="0" applyFill="1" applyBorder="1" applyAlignment="1">
      <alignment vertical="center" wrapText="1"/>
    </xf>
    <xf numFmtId="0" fontId="0" fillId="8" borderId="47" xfId="0" applyFill="1" applyBorder="1" applyAlignment="1">
      <alignment vertical="center" wrapText="1"/>
    </xf>
    <xf numFmtId="0" fontId="47" fillId="2" borderId="47" xfId="0" applyFont="1" applyFill="1" applyBorder="1" applyAlignment="1">
      <alignment vertical="center" wrapText="1"/>
    </xf>
    <xf numFmtId="0" fontId="0" fillId="2" borderId="47" xfId="0" applyFill="1" applyBorder="1" applyAlignment="1">
      <alignment horizontal="left" vertical="center" wrapText="1"/>
    </xf>
    <xf numFmtId="0" fontId="0" fillId="2" borderId="50" xfId="0" applyFill="1" applyBorder="1" applyAlignment="1">
      <alignment horizontal="left" vertical="center" wrapText="1"/>
    </xf>
    <xf numFmtId="0" fontId="0" fillId="6" borderId="50" xfId="0" applyFill="1" applyBorder="1" applyAlignment="1">
      <alignment horizontal="left" vertical="center" wrapText="1"/>
    </xf>
    <xf numFmtId="179" fontId="8" fillId="2" borderId="179" xfId="1" applyNumberFormat="1" applyFont="1" applyFill="1" applyBorder="1" applyAlignment="1">
      <alignment vertical="center"/>
    </xf>
    <xf numFmtId="179" fontId="8" fillId="7" borderId="180" xfId="1" applyNumberFormat="1" applyFont="1" applyFill="1" applyBorder="1" applyAlignment="1">
      <alignment vertical="center"/>
    </xf>
    <xf numFmtId="0" fontId="3" fillId="2" borderId="181" xfId="0" applyFont="1" applyFill="1" applyBorder="1" applyAlignment="1">
      <alignment horizontal="center" vertical="center" wrapText="1"/>
    </xf>
    <xf numFmtId="179" fontId="8" fillId="2" borderId="182" xfId="1" applyNumberFormat="1" applyFont="1" applyFill="1" applyBorder="1" applyAlignment="1">
      <alignment vertical="center"/>
    </xf>
    <xf numFmtId="179" fontId="7" fillId="7" borderId="177" xfId="1" applyNumberFormat="1" applyFont="1" applyFill="1" applyBorder="1" applyAlignment="1">
      <alignment vertical="center"/>
    </xf>
    <xf numFmtId="0" fontId="0" fillId="2" borderId="184" xfId="0" applyFill="1" applyBorder="1" applyAlignment="1">
      <alignment vertical="center" wrapText="1"/>
    </xf>
    <xf numFmtId="0" fontId="3" fillId="2" borderId="83" xfId="0" applyFont="1" applyFill="1" applyBorder="1" applyAlignment="1">
      <alignment horizontal="center" vertical="center" wrapText="1"/>
    </xf>
    <xf numFmtId="179" fontId="8" fillId="2" borderId="186" xfId="1" applyNumberFormat="1" applyFont="1" applyFill="1" applyBorder="1" applyAlignment="1">
      <alignment vertical="center"/>
    </xf>
    <xf numFmtId="179" fontId="7" fillId="2" borderId="179" xfId="1" applyNumberFormat="1" applyFont="1" applyFill="1" applyBorder="1" applyAlignment="1">
      <alignment horizontal="right" vertical="center"/>
    </xf>
    <xf numFmtId="179" fontId="4" fillId="2" borderId="47" xfId="1" applyNumberFormat="1" applyFont="1" applyFill="1" applyBorder="1" applyAlignment="1">
      <alignment horizontal="center" vertical="center"/>
    </xf>
    <xf numFmtId="179" fontId="4" fillId="2" borderId="178" xfId="1" applyNumberFormat="1" applyFont="1" applyFill="1" applyBorder="1" applyAlignment="1">
      <alignment horizontal="right" vertical="center"/>
    </xf>
    <xf numFmtId="179" fontId="7" fillId="2" borderId="187" xfId="1" applyNumberFormat="1" applyFont="1" applyFill="1" applyBorder="1" applyAlignment="1">
      <alignment horizontal="left" vertical="center"/>
    </xf>
    <xf numFmtId="179" fontId="7" fillId="2" borderId="188" xfId="1" applyNumberFormat="1" applyFont="1" applyFill="1" applyBorder="1" applyAlignment="1">
      <alignment horizontal="left" vertical="center"/>
    </xf>
    <xf numFmtId="179" fontId="7" fillId="2" borderId="47" xfId="1" applyNumberFormat="1" applyFont="1" applyFill="1" applyBorder="1" applyAlignment="1">
      <alignment horizontal="left" vertical="center"/>
    </xf>
    <xf numFmtId="179" fontId="4" fillId="2" borderId="187" xfId="1" applyNumberFormat="1" applyFont="1" applyFill="1" applyBorder="1" applyAlignment="1">
      <alignment horizontal="right" vertical="center"/>
    </xf>
    <xf numFmtId="179" fontId="7" fillId="7" borderId="179" xfId="1" applyNumberFormat="1" applyFont="1" applyFill="1" applyBorder="1" applyAlignment="1">
      <alignment horizontal="right" vertical="center"/>
    </xf>
    <xf numFmtId="0" fontId="3" fillId="2" borderId="86" xfId="0" applyFont="1" applyFill="1" applyBorder="1" applyAlignment="1">
      <alignment horizontal="right" vertical="center" wrapText="1"/>
    </xf>
    <xf numFmtId="0" fontId="0" fillId="2" borderId="110" xfId="0" applyFill="1" applyBorder="1" applyAlignment="1">
      <alignment vertical="center"/>
    </xf>
    <xf numFmtId="179" fontId="8" fillId="10" borderId="189" xfId="4" applyNumberFormat="1" applyFont="1" applyFill="1" applyBorder="1" applyAlignment="1">
      <alignment vertical="center"/>
    </xf>
    <xf numFmtId="177" fontId="8" fillId="0" borderId="9" xfId="1" applyNumberFormat="1" applyFont="1" applyBorder="1" applyAlignment="1">
      <alignment vertical="center"/>
    </xf>
    <xf numFmtId="0" fontId="2" fillId="2" borderId="2" xfId="1" applyNumberFormat="1" applyFont="1" applyFill="1" applyBorder="1" applyAlignment="1">
      <alignment horizontal="left" vertical="center"/>
    </xf>
    <xf numFmtId="171" fontId="3" fillId="2" borderId="3" xfId="0" applyNumberFormat="1" applyFont="1" applyFill="1" applyBorder="1" applyAlignment="1">
      <alignment horizontal="center" vertical="center"/>
    </xf>
    <xf numFmtId="0" fontId="0" fillId="2" borderId="8" xfId="0" applyFill="1" applyBorder="1" applyAlignment="1">
      <alignment horizontal="center" vertical="center"/>
    </xf>
    <xf numFmtId="166" fontId="3" fillId="2" borderId="17" xfId="1" applyFont="1" applyFill="1" applyBorder="1" applyAlignment="1">
      <alignment horizontal="center" vertical="center"/>
    </xf>
    <xf numFmtId="181" fontId="3" fillId="2" borderId="17" xfId="1" applyNumberFormat="1" applyFont="1" applyFill="1" applyBorder="1" applyAlignment="1">
      <alignment horizontal="center" vertical="center"/>
    </xf>
    <xf numFmtId="166" fontId="0" fillId="2" borderId="8" xfId="1" applyFont="1" applyFill="1" applyBorder="1" applyAlignment="1">
      <alignment horizontal="right" vertical="center" wrapText="1"/>
    </xf>
    <xf numFmtId="166" fontId="0" fillId="2" borderId="2" xfId="1" applyFont="1" applyFill="1" applyBorder="1" applyAlignment="1">
      <alignment vertical="center" wrapText="1"/>
    </xf>
    <xf numFmtId="171" fontId="0" fillId="2" borderId="15" xfId="1" applyNumberFormat="1" applyFont="1" applyFill="1" applyBorder="1" applyAlignment="1">
      <alignment horizontal="right" vertical="center" wrapText="1"/>
    </xf>
    <xf numFmtId="171" fontId="0" fillId="2" borderId="6" xfId="1" applyNumberFormat="1" applyFont="1" applyFill="1" applyBorder="1" applyAlignment="1">
      <alignment horizontal="right" vertical="center" wrapText="1"/>
    </xf>
    <xf numFmtId="166" fontId="0" fillId="2" borderId="2" xfId="1" applyFont="1" applyFill="1" applyBorder="1" applyAlignment="1">
      <alignment horizontal="center" vertical="center" wrapText="1"/>
    </xf>
    <xf numFmtId="166" fontId="0" fillId="2" borderId="7" xfId="1" applyFont="1" applyFill="1" applyBorder="1" applyAlignment="1">
      <alignment horizontal="right" vertical="center" wrapText="1"/>
    </xf>
    <xf numFmtId="171" fontId="0" fillId="2" borderId="2" xfId="1" applyNumberFormat="1" applyFont="1" applyFill="1" applyBorder="1" applyAlignment="1">
      <alignment vertical="center" wrapText="1"/>
    </xf>
    <xf numFmtId="166" fontId="0" fillId="2" borderId="57" xfId="1" applyFont="1" applyFill="1" applyBorder="1" applyAlignment="1">
      <alignment vertical="center"/>
    </xf>
    <xf numFmtId="0" fontId="3" fillId="2" borderId="30" xfId="0" applyFont="1" applyFill="1" applyBorder="1" applyAlignment="1">
      <alignment horizontal="left" vertical="center"/>
    </xf>
    <xf numFmtId="0" fontId="3" fillId="2" borderId="30" xfId="0" applyFont="1" applyFill="1" applyBorder="1" applyAlignment="1">
      <alignment horizontal="center" vertical="center"/>
    </xf>
    <xf numFmtId="171" fontId="3" fillId="2" borderId="33" xfId="1" applyNumberFormat="1" applyFont="1" applyFill="1" applyBorder="1" applyAlignment="1">
      <alignment horizontal="right" vertical="center" wrapText="1"/>
    </xf>
    <xf numFmtId="166" fontId="3" fillId="2" borderId="8" xfId="1" applyFont="1" applyFill="1" applyBorder="1" applyAlignment="1">
      <alignment horizontal="right" vertical="center" wrapText="1"/>
    </xf>
    <xf numFmtId="166" fontId="3" fillId="2" borderId="27" xfId="1" applyFont="1" applyFill="1" applyBorder="1" applyAlignment="1">
      <alignment horizontal="right" vertical="center" wrapText="1"/>
    </xf>
    <xf numFmtId="166" fontId="3" fillId="2" borderId="30" xfId="1" applyFont="1" applyFill="1" applyBorder="1" applyAlignment="1">
      <alignment horizontal="right" vertical="center" wrapText="1"/>
    </xf>
    <xf numFmtId="166" fontId="3" fillId="2" borderId="78" xfId="1" applyFont="1" applyFill="1" applyBorder="1" applyAlignment="1">
      <alignment horizontal="right" vertical="center" wrapText="1"/>
    </xf>
    <xf numFmtId="171" fontId="3" fillId="2" borderId="78" xfId="1" applyNumberFormat="1" applyFont="1" applyFill="1" applyBorder="1" applyAlignment="1">
      <alignment horizontal="right" vertical="center" wrapText="1"/>
    </xf>
    <xf numFmtId="0" fontId="0" fillId="2" borderId="13" xfId="0" applyFill="1" applyBorder="1" applyAlignment="1">
      <alignment horizontal="left" vertical="center"/>
    </xf>
    <xf numFmtId="171" fontId="0" fillId="2" borderId="14" xfId="1" applyNumberFormat="1" applyFont="1" applyFill="1" applyBorder="1" applyAlignment="1">
      <alignment horizontal="right" vertical="center" wrapText="1"/>
    </xf>
    <xf numFmtId="166" fontId="0" fillId="2" borderId="13" xfId="1" applyFont="1" applyFill="1" applyBorder="1" applyAlignment="1">
      <alignment horizontal="right" vertical="center" wrapText="1"/>
    </xf>
    <xf numFmtId="166" fontId="16" fillId="2" borderId="13" xfId="1" applyFont="1" applyFill="1" applyBorder="1" applyAlignment="1">
      <alignment vertical="center" wrapText="1"/>
    </xf>
    <xf numFmtId="181" fontId="3" fillId="2" borderId="2" xfId="1" applyNumberFormat="1" applyFont="1" applyFill="1" applyBorder="1" applyAlignment="1">
      <alignment vertical="center" wrapText="1"/>
    </xf>
    <xf numFmtId="181" fontId="3" fillId="2" borderId="2" xfId="1" applyNumberFormat="1" applyFont="1" applyFill="1" applyBorder="1" applyAlignment="1">
      <alignment horizontal="right" vertical="center"/>
    </xf>
    <xf numFmtId="166" fontId="16" fillId="2" borderId="17" xfId="1" applyFont="1" applyFill="1" applyBorder="1" applyAlignment="1">
      <alignment vertical="center" wrapText="1"/>
    </xf>
    <xf numFmtId="181" fontId="3" fillId="2" borderId="17" xfId="1" applyNumberFormat="1" applyFont="1" applyFill="1" applyBorder="1" applyAlignment="1">
      <alignment vertical="center" wrapText="1"/>
    </xf>
    <xf numFmtId="171" fontId="16" fillId="2" borderId="17" xfId="1" applyNumberFormat="1" applyFont="1" applyFill="1" applyBorder="1" applyAlignment="1">
      <alignment horizontal="right" vertical="center" wrapText="1"/>
    </xf>
    <xf numFmtId="166" fontId="0" fillId="2" borderId="17" xfId="1" applyFont="1" applyFill="1" applyBorder="1" applyAlignment="1">
      <alignment horizontal="right" vertical="center" wrapText="1"/>
    </xf>
    <xf numFmtId="0" fontId="3" fillId="2" borderId="78" xfId="0" applyFont="1" applyFill="1" applyBorder="1" applyAlignment="1">
      <alignment horizontal="center" vertical="center"/>
    </xf>
    <xf numFmtId="171" fontId="3" fillId="2" borderId="120" xfId="1" applyNumberFormat="1" applyFont="1" applyFill="1" applyBorder="1" applyAlignment="1">
      <alignment horizontal="right" vertical="center" wrapText="1"/>
    </xf>
    <xf numFmtId="166" fontId="3" fillId="2" borderId="130" xfId="1" applyFont="1" applyFill="1" applyBorder="1" applyAlignment="1">
      <alignment horizontal="right" vertical="center" wrapText="1"/>
    </xf>
    <xf numFmtId="181" fontId="3" fillId="2" borderId="130" xfId="1" applyNumberFormat="1" applyFont="1" applyFill="1" applyBorder="1" applyAlignment="1">
      <alignment horizontal="right" vertical="center" wrapText="1"/>
    </xf>
    <xf numFmtId="171" fontId="4" fillId="2" borderId="130" xfId="1" applyNumberFormat="1" applyFont="1" applyFill="1" applyBorder="1" applyAlignment="1">
      <alignment horizontal="right" vertical="center" wrapText="1"/>
    </xf>
    <xf numFmtId="0" fontId="3" fillId="2" borderId="79" xfId="0" applyFont="1" applyFill="1" applyBorder="1" applyAlignment="1">
      <alignment horizontal="center" vertical="center"/>
    </xf>
    <xf numFmtId="171" fontId="3" fillId="2" borderId="79" xfId="1" applyNumberFormat="1" applyFont="1" applyFill="1" applyBorder="1" applyAlignment="1">
      <alignment horizontal="right" vertical="center" wrapText="1"/>
    </xf>
    <xf numFmtId="166" fontId="3" fillId="2" borderId="0" xfId="1" applyFont="1" applyFill="1" applyBorder="1" applyAlignment="1">
      <alignment horizontal="right" vertical="center" wrapText="1"/>
    </xf>
    <xf numFmtId="166" fontId="3" fillId="2" borderId="79" xfId="1" applyFont="1" applyFill="1" applyBorder="1" applyAlignment="1">
      <alignment horizontal="right" vertical="center" wrapText="1"/>
    </xf>
    <xf numFmtId="166" fontId="3" fillId="2" borderId="125" xfId="1" applyFont="1" applyFill="1" applyBorder="1" applyAlignment="1">
      <alignment horizontal="right" vertical="center" wrapText="1"/>
    </xf>
    <xf numFmtId="171" fontId="3" fillId="2" borderId="79" xfId="0" applyNumberFormat="1" applyFont="1" applyFill="1" applyBorder="1" applyAlignment="1">
      <alignment horizontal="center" vertical="center"/>
    </xf>
    <xf numFmtId="166" fontId="3" fillId="2" borderId="126" xfId="1" applyFont="1" applyFill="1" applyBorder="1" applyAlignment="1">
      <alignment horizontal="right" vertical="center" wrapText="1"/>
    </xf>
    <xf numFmtId="171" fontId="8" fillId="2" borderId="3" xfId="1" applyNumberFormat="1" applyFont="1" applyFill="1" applyBorder="1" applyAlignment="1">
      <alignment horizontal="right" vertical="center" wrapText="1"/>
    </xf>
    <xf numFmtId="166" fontId="8" fillId="2" borderId="8" xfId="1" applyFont="1" applyFill="1" applyBorder="1" applyAlignment="1">
      <alignment horizontal="right" vertical="center"/>
    </xf>
    <xf numFmtId="166" fontId="8" fillId="2" borderId="82" xfId="1" applyFont="1" applyFill="1" applyBorder="1" applyAlignment="1">
      <alignment horizontal="right" vertical="center"/>
    </xf>
    <xf numFmtId="166" fontId="8" fillId="2" borderId="2" xfId="1" applyFont="1" applyFill="1" applyBorder="1" applyAlignment="1">
      <alignment horizontal="right" vertical="center" wrapText="1"/>
    </xf>
    <xf numFmtId="166" fontId="8" fillId="2" borderId="64" xfId="1" applyFont="1" applyFill="1" applyBorder="1" applyAlignment="1">
      <alignment vertical="center" wrapText="1"/>
    </xf>
    <xf numFmtId="166" fontId="8" fillId="2" borderId="7" xfId="1" applyFont="1" applyFill="1" applyBorder="1" applyAlignment="1">
      <alignment vertical="center" wrapText="1"/>
    </xf>
    <xf numFmtId="181" fontId="8" fillId="2" borderId="7" xfId="1" applyNumberFormat="1" applyFont="1" applyFill="1" applyBorder="1" applyAlignment="1">
      <alignment vertical="center" wrapText="1"/>
    </xf>
    <xf numFmtId="171" fontId="0" fillId="2" borderId="5" xfId="0" applyNumberFormat="1" applyFill="1" applyBorder="1" applyAlignment="1">
      <alignment horizontal="center" vertical="center"/>
    </xf>
    <xf numFmtId="171" fontId="8" fillId="7" borderId="7" xfId="1" applyNumberFormat="1" applyFont="1" applyFill="1" applyBorder="1" applyAlignment="1">
      <alignment horizontal="right" vertical="center" wrapText="1"/>
    </xf>
    <xf numFmtId="171" fontId="8" fillId="2" borderId="10" xfId="1" applyNumberFormat="1" applyFont="1" applyFill="1" applyBorder="1" applyAlignment="1">
      <alignment horizontal="right" vertical="center" wrapText="1"/>
    </xf>
    <xf numFmtId="0" fontId="0" fillId="0" borderId="121" xfId="0" applyBorder="1" applyAlignment="1">
      <alignment vertical="center"/>
    </xf>
    <xf numFmtId="166" fontId="8" fillId="2" borderId="9" xfId="1" applyFont="1" applyFill="1" applyBorder="1" applyAlignment="1">
      <alignment horizontal="right" vertical="center" wrapText="1"/>
    </xf>
    <xf numFmtId="166" fontId="8" fillId="2" borderId="9" xfId="1" applyFont="1" applyFill="1" applyBorder="1" applyAlignment="1">
      <alignment vertical="center" wrapText="1"/>
    </xf>
    <xf numFmtId="181" fontId="8" fillId="2" borderId="9" xfId="4" applyNumberFormat="1" applyFont="1" applyFill="1" applyBorder="1" applyAlignment="1">
      <alignment horizontal="right" vertical="center" wrapText="1"/>
    </xf>
    <xf numFmtId="171" fontId="8" fillId="2" borderId="9" xfId="4" applyNumberFormat="1" applyFont="1" applyFill="1" applyBorder="1" applyAlignment="1">
      <alignment horizontal="right" vertical="center" wrapText="1"/>
    </xf>
    <xf numFmtId="179" fontId="16" fillId="0" borderId="9" xfId="1" applyNumberFormat="1" applyFont="1" applyBorder="1" applyAlignment="1">
      <alignment horizontal="right" vertical="center"/>
    </xf>
    <xf numFmtId="179" fontId="16" fillId="0" borderId="9" xfId="1" applyNumberFormat="1" applyFont="1" applyBorder="1" applyAlignment="1">
      <alignment vertical="center"/>
    </xf>
    <xf numFmtId="176" fontId="0" fillId="2" borderId="23" xfId="3" applyNumberFormat="1" applyFont="1" applyFill="1" applyBorder="1" applyAlignment="1">
      <alignment horizontal="right" vertical="center"/>
    </xf>
    <xf numFmtId="176" fontId="0" fillId="2" borderId="23" xfId="3" applyNumberFormat="1" applyFont="1" applyFill="1" applyBorder="1" applyAlignment="1">
      <alignment horizontal="center" vertical="center"/>
    </xf>
    <xf numFmtId="179" fontId="0" fillId="7" borderId="2" xfId="1" applyNumberFormat="1" applyFont="1" applyFill="1" applyBorder="1" applyAlignment="1">
      <alignment horizontal="right" vertical="center"/>
    </xf>
    <xf numFmtId="179" fontId="8" fillId="2" borderId="46" xfId="4" applyNumberFormat="1" applyFont="1" applyFill="1" applyBorder="1" applyAlignment="1">
      <alignment horizontal="right" vertical="center"/>
    </xf>
    <xf numFmtId="179" fontId="0" fillId="2" borderId="45" xfId="1" applyNumberFormat="1" applyFont="1" applyFill="1" applyBorder="1" applyAlignment="1">
      <alignment horizontal="right" vertical="center"/>
    </xf>
    <xf numFmtId="0" fontId="0" fillId="2" borderId="14" xfId="0" applyFill="1" applyBorder="1" applyAlignment="1">
      <alignment vertical="center"/>
    </xf>
    <xf numFmtId="0" fontId="0" fillId="2" borderId="1" xfId="0" applyFill="1" applyBorder="1" applyAlignment="1">
      <alignment horizontal="center" vertical="center"/>
    </xf>
    <xf numFmtId="165" fontId="0" fillId="2" borderId="1" xfId="1" applyNumberFormat="1" applyFont="1" applyFill="1" applyBorder="1" applyAlignment="1">
      <alignment vertical="center"/>
    </xf>
    <xf numFmtId="165" fontId="0" fillId="2" borderId="21" xfId="1" applyNumberFormat="1" applyFont="1" applyFill="1" applyBorder="1" applyAlignment="1">
      <alignment vertical="center"/>
    </xf>
    <xf numFmtId="0" fontId="64" fillId="31"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179" fontId="9" fillId="2" borderId="2" xfId="0" applyNumberFormat="1" applyFont="1" applyFill="1" applyBorder="1" applyAlignment="1">
      <alignment horizontal="center" vertical="center" wrapText="1"/>
    </xf>
    <xf numFmtId="179" fontId="9" fillId="2" borderId="2" xfId="0" applyNumberFormat="1" applyFont="1" applyFill="1" applyBorder="1" applyAlignment="1">
      <alignment horizontal="right" vertical="center" wrapText="1"/>
    </xf>
    <xf numFmtId="179" fontId="8" fillId="2" borderId="9" xfId="4" applyNumberFormat="1" applyFont="1" applyFill="1" applyBorder="1" applyAlignment="1">
      <alignment horizontal="right" vertical="center" wrapText="1"/>
    </xf>
    <xf numFmtId="179" fontId="8" fillId="10" borderId="9" xfId="4" applyNumberFormat="1" applyFont="1" applyFill="1" applyBorder="1" applyAlignment="1">
      <alignment horizontal="right" vertical="center" wrapText="1"/>
    </xf>
    <xf numFmtId="165" fontId="3" fillId="0" borderId="9" xfId="0" applyNumberFormat="1" applyFont="1" applyBorder="1" applyAlignment="1">
      <alignment vertical="center"/>
    </xf>
    <xf numFmtId="179" fontId="8" fillId="2" borderId="9" xfId="4" applyNumberFormat="1" applyFont="1" applyFill="1" applyBorder="1"/>
    <xf numFmtId="179" fontId="4" fillId="2" borderId="9" xfId="1" applyNumberFormat="1" applyFont="1" applyFill="1" applyBorder="1" applyAlignment="1">
      <alignment horizontal="right"/>
    </xf>
    <xf numFmtId="166" fontId="7" fillId="2" borderId="2" xfId="1" applyFont="1" applyFill="1" applyBorder="1" applyAlignment="1">
      <alignment vertical="center"/>
    </xf>
    <xf numFmtId="0" fontId="8" fillId="11" borderId="2" xfId="1" applyNumberFormat="1" applyFont="1" applyFill="1" applyBorder="1" applyAlignment="1">
      <alignment horizontal="center" vertical="center"/>
    </xf>
    <xf numFmtId="179" fontId="4" fillId="2" borderId="9" xfId="4" applyNumberFormat="1" applyFont="1" applyFill="1" applyBorder="1" applyAlignment="1">
      <alignment horizontal="right"/>
    </xf>
    <xf numFmtId="179" fontId="8" fillId="0" borderId="9" xfId="1" applyNumberFormat="1" applyFont="1" applyBorder="1" applyAlignment="1">
      <alignment horizontal="right"/>
    </xf>
    <xf numFmtId="164" fontId="0" fillId="2" borderId="2" xfId="0" applyNumberFormat="1" applyFill="1" applyBorder="1" applyAlignment="1">
      <alignment horizontal="center" vertical="center"/>
    </xf>
    <xf numFmtId="164" fontId="0" fillId="2" borderId="22" xfId="1" applyNumberFormat="1" applyFont="1" applyFill="1" applyBorder="1" applyAlignment="1">
      <alignment vertical="center"/>
    </xf>
    <xf numFmtId="171" fontId="0" fillId="2" borderId="22" xfId="1" applyNumberFormat="1" applyFont="1" applyFill="1" applyBorder="1" applyAlignment="1">
      <alignment horizontal="center" vertical="center"/>
    </xf>
    <xf numFmtId="177" fontId="0" fillId="2" borderId="9" xfId="0" applyNumberFormat="1" applyFill="1" applyBorder="1" applyAlignment="1">
      <alignment vertical="center"/>
    </xf>
    <xf numFmtId="169" fontId="3" fillId="2" borderId="11" xfId="0" applyNumberFormat="1" applyFont="1" applyFill="1" applyBorder="1" applyAlignment="1">
      <alignment horizontal="right" vertical="center"/>
    </xf>
    <xf numFmtId="0" fontId="8" fillId="0" borderId="6" xfId="0" applyFont="1" applyBorder="1" applyAlignment="1">
      <alignment horizontal="center" vertical="center"/>
    </xf>
    <xf numFmtId="171" fontId="16" fillId="0" borderId="14" xfId="1" applyNumberFormat="1" applyFont="1" applyBorder="1" applyAlignment="1">
      <alignment horizontal="right" vertical="center" wrapText="1"/>
    </xf>
    <xf numFmtId="171" fontId="4" fillId="0" borderId="14" xfId="1" applyNumberFormat="1" applyFont="1" applyBorder="1" applyAlignment="1">
      <alignment horizontal="right" vertical="center" textRotation="90" wrapText="1"/>
    </xf>
    <xf numFmtId="171" fontId="0" fillId="2" borderId="19" xfId="1" applyNumberFormat="1" applyFont="1" applyFill="1" applyBorder="1" applyAlignment="1">
      <alignment horizontal="right" vertical="center"/>
    </xf>
    <xf numFmtId="171" fontId="8" fillId="2" borderId="19" xfId="1" applyNumberFormat="1" applyFont="1" applyFill="1" applyBorder="1" applyAlignment="1">
      <alignment horizontal="right" vertical="center"/>
    </xf>
    <xf numFmtId="171" fontId="8" fillId="2" borderId="15" xfId="1" applyNumberFormat="1" applyFont="1" applyFill="1" applyBorder="1" applyAlignment="1">
      <alignment horizontal="right" vertical="center" wrapText="1"/>
    </xf>
    <xf numFmtId="171" fontId="8" fillId="2" borderId="6" xfId="1" applyNumberFormat="1" applyFont="1" applyFill="1" applyBorder="1" applyAlignment="1">
      <alignment horizontal="right" vertical="center" wrapText="1"/>
    </xf>
    <xf numFmtId="171" fontId="7" fillId="2" borderId="2" xfId="1" applyNumberFormat="1" applyFont="1" applyFill="1" applyBorder="1" applyAlignment="1">
      <alignment vertical="center" wrapText="1"/>
    </xf>
    <xf numFmtId="171" fontId="7" fillId="7" borderId="2" xfId="1" applyNumberFormat="1" applyFont="1" applyFill="1" applyBorder="1" applyAlignment="1">
      <alignment vertical="center" wrapText="1"/>
    </xf>
    <xf numFmtId="171" fontId="8" fillId="10" borderId="9" xfId="4" applyNumberFormat="1" applyFont="1" applyFill="1" applyBorder="1" applyAlignment="1">
      <alignment vertical="center"/>
    </xf>
    <xf numFmtId="179" fontId="3" fillId="0" borderId="32" xfId="1" applyNumberFormat="1" applyFont="1" applyBorder="1" applyAlignment="1">
      <alignment horizontal="right" vertical="center"/>
    </xf>
    <xf numFmtId="182" fontId="0" fillId="2" borderId="9" xfId="1" applyNumberFormat="1" applyFont="1" applyFill="1" applyBorder="1" applyAlignment="1">
      <alignment horizontal="right" vertical="center"/>
    </xf>
    <xf numFmtId="179" fontId="0" fillId="2" borderId="9" xfId="1" applyNumberFormat="1" applyFont="1" applyFill="1" applyBorder="1" applyAlignment="1">
      <alignment horizontal="right" vertical="center"/>
    </xf>
    <xf numFmtId="0" fontId="3" fillId="23" borderId="9" xfId="0" applyFont="1" applyFill="1" applyBorder="1" applyAlignment="1">
      <alignment vertical="center"/>
    </xf>
    <xf numFmtId="177" fontId="7" fillId="7" borderId="2" xfId="1" applyNumberFormat="1" applyFont="1" applyFill="1" applyBorder="1" applyAlignment="1">
      <alignment vertical="center"/>
    </xf>
    <xf numFmtId="179" fontId="0" fillId="2" borderId="2" xfId="1" applyNumberFormat="1" applyFont="1" applyFill="1" applyBorder="1" applyAlignment="1">
      <alignment horizontal="right" vertical="center" wrapText="1"/>
    </xf>
    <xf numFmtId="0" fontId="4" fillId="3" borderId="2" xfId="1" applyNumberFormat="1" applyFont="1" applyFill="1" applyBorder="1" applyAlignment="1">
      <alignment vertical="center" wrapText="1"/>
    </xf>
    <xf numFmtId="0" fontId="3" fillId="0" borderId="2" xfId="0" applyFont="1" applyBorder="1" applyAlignment="1">
      <alignment horizontal="right" vertical="center"/>
    </xf>
    <xf numFmtId="171" fontId="3" fillId="2" borderId="2" xfId="1" applyNumberFormat="1" applyFont="1" applyFill="1" applyBorder="1" applyAlignment="1">
      <alignment vertical="center" textRotation="90" wrapText="1"/>
    </xf>
    <xf numFmtId="171" fontId="3" fillId="2" borderId="2" xfId="1" applyNumberFormat="1" applyFont="1" applyFill="1" applyBorder="1" applyAlignment="1">
      <alignment horizontal="center" vertical="center" textRotation="90" wrapText="1"/>
    </xf>
    <xf numFmtId="171" fontId="2" fillId="7" borderId="2" xfId="1" applyNumberFormat="1" applyFont="1" applyFill="1" applyBorder="1" applyAlignment="1">
      <alignment vertical="center" wrapText="1"/>
    </xf>
    <xf numFmtId="177" fontId="0" fillId="0" borderId="9" xfId="0" applyNumberFormat="1" applyBorder="1" applyAlignment="1">
      <alignment horizontal="left" vertical="center"/>
    </xf>
    <xf numFmtId="177" fontId="4" fillId="0" borderId="9" xfId="0" applyNumberFormat="1" applyFont="1" applyBorder="1" applyAlignment="1">
      <alignment horizontal="right" vertical="center"/>
    </xf>
    <xf numFmtId="171" fontId="8" fillId="2" borderId="9" xfId="4" applyNumberFormat="1" applyFont="1" applyFill="1" applyBorder="1" applyAlignment="1">
      <alignment vertical="center"/>
    </xf>
    <xf numFmtId="176" fontId="5" fillId="2" borderId="2" xfId="0" applyNumberFormat="1" applyFont="1" applyFill="1" applyBorder="1" applyAlignment="1">
      <alignment vertical="center" textRotation="90"/>
    </xf>
    <xf numFmtId="0" fontId="0" fillId="20" borderId="2" xfId="0" applyFill="1" applyBorder="1" applyAlignment="1">
      <alignment horizontal="left" vertical="center"/>
    </xf>
    <xf numFmtId="176" fontId="5" fillId="20" borderId="2" xfId="0" applyNumberFormat="1" applyFont="1" applyFill="1" applyBorder="1" applyAlignment="1">
      <alignment vertical="center" textRotation="90"/>
    </xf>
    <xf numFmtId="176" fontId="0" fillId="7" borderId="2" xfId="0" applyNumberFormat="1" applyFill="1" applyBorder="1" applyAlignment="1">
      <alignment vertical="center"/>
    </xf>
    <xf numFmtId="0" fontId="3" fillId="0" borderId="0" xfId="0" applyFont="1" applyAlignment="1">
      <alignment horizontal="center" vertical="center" wrapText="1"/>
    </xf>
    <xf numFmtId="0" fontId="3" fillId="2" borderId="120" xfId="0" applyFont="1" applyFill="1" applyBorder="1" applyAlignment="1">
      <alignment horizontal="center" vertical="center"/>
    </xf>
    <xf numFmtId="164" fontId="7" fillId="7" borderId="158" xfId="0" applyNumberFormat="1" applyFont="1" applyFill="1" applyBorder="1" applyAlignment="1">
      <alignment horizontal="right" vertical="center"/>
    </xf>
    <xf numFmtId="0" fontId="4" fillId="2" borderId="13" xfId="1" applyNumberFormat="1" applyFont="1" applyFill="1" applyBorder="1" applyAlignment="1">
      <alignment horizontal="center" vertical="center"/>
    </xf>
    <xf numFmtId="171" fontId="3" fillId="2" borderId="0" xfId="1"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39" fillId="2" borderId="0" xfId="4" applyFont="1" applyFill="1" applyAlignment="1">
      <alignment horizontal="center" vertical="center"/>
    </xf>
    <xf numFmtId="182" fontId="7" fillId="22" borderId="2" xfId="4" applyNumberFormat="1" applyFont="1" applyFill="1" applyBorder="1" applyAlignment="1" applyProtection="1">
      <alignment vertical="center"/>
      <protection locked="0"/>
    </xf>
    <xf numFmtId="182" fontId="8" fillId="2" borderId="2" xfId="1" applyNumberFormat="1" applyFont="1" applyFill="1" applyBorder="1" applyAlignment="1" applyProtection="1">
      <alignment vertical="center"/>
      <protection locked="0"/>
    </xf>
    <xf numFmtId="182" fontId="30" fillId="22" borderId="2" xfId="4" applyNumberFormat="1" applyFont="1" applyFill="1" applyBorder="1" applyAlignment="1" applyProtection="1">
      <alignment vertical="center"/>
      <protection locked="0"/>
    </xf>
    <xf numFmtId="182" fontId="3" fillId="2" borderId="2" xfId="1" applyNumberFormat="1" applyFont="1" applyFill="1" applyBorder="1" applyAlignment="1" applyProtection="1">
      <alignment vertical="center"/>
      <protection locked="0"/>
    </xf>
    <xf numFmtId="182" fontId="2" fillId="2" borderId="2" xfId="1" applyNumberFormat="1" applyFill="1" applyBorder="1" applyAlignment="1" applyProtection="1">
      <alignment horizontal="right" vertical="center"/>
      <protection locked="0"/>
    </xf>
    <xf numFmtId="182" fontId="4" fillId="2" borderId="2" xfId="1" applyNumberFormat="1" applyFont="1" applyFill="1" applyBorder="1" applyAlignment="1" applyProtection="1">
      <alignment horizontal="center" vertical="center"/>
      <protection locked="0"/>
    </xf>
    <xf numFmtId="182" fontId="3" fillId="2" borderId="2" xfId="1" applyNumberFormat="1" applyFont="1" applyFill="1" applyBorder="1" applyAlignment="1" applyProtection="1">
      <alignment horizontal="right" vertical="center"/>
      <protection locked="0"/>
    </xf>
    <xf numFmtId="182" fontId="7" fillId="2" borderId="17" xfId="4" applyNumberFormat="1" applyFont="1" applyFill="1" applyBorder="1" applyAlignment="1" applyProtection="1">
      <alignment vertical="center"/>
      <protection locked="0"/>
    </xf>
    <xf numFmtId="182" fontId="3" fillId="2" borderId="56" xfId="1" applyNumberFormat="1" applyFont="1" applyFill="1" applyBorder="1" applyAlignment="1" applyProtection="1">
      <alignment horizontal="right" vertical="center"/>
      <protection locked="0"/>
    </xf>
    <xf numFmtId="182" fontId="3" fillId="2" borderId="31" xfId="0" applyNumberFormat="1" applyFont="1" applyFill="1" applyBorder="1" applyAlignment="1" applyProtection="1">
      <alignment horizontal="right" vertical="center"/>
      <protection locked="0"/>
    </xf>
    <xf numFmtId="182" fontId="7" fillId="2" borderId="17" xfId="4" applyNumberFormat="1" applyFont="1" applyFill="1" applyBorder="1" applyAlignment="1" applyProtection="1">
      <alignment vertical="center" textRotation="90"/>
      <protection locked="0"/>
    </xf>
    <xf numFmtId="182" fontId="7" fillId="2" borderId="7" xfId="4" applyNumberFormat="1" applyFont="1" applyFill="1" applyBorder="1" applyAlignment="1" applyProtection="1">
      <alignment vertical="center" textRotation="90"/>
      <protection locked="0"/>
    </xf>
    <xf numFmtId="182" fontId="33" fillId="2" borderId="2" xfId="4" applyNumberFormat="1" applyFont="1" applyFill="1" applyBorder="1" applyAlignment="1" applyProtection="1">
      <alignment vertical="center"/>
      <protection locked="0"/>
    </xf>
    <xf numFmtId="182" fontId="13" fillId="2" borderId="18" xfId="0" applyNumberFormat="1" applyFont="1" applyFill="1" applyBorder="1" applyAlignment="1" applyProtection="1">
      <alignment vertical="center"/>
      <protection locked="0"/>
    </xf>
    <xf numFmtId="182" fontId="24" fillId="10" borderId="130" xfId="0" applyNumberFormat="1" applyFont="1" applyFill="1" applyBorder="1" applyAlignment="1" applyProtection="1">
      <alignment vertical="center"/>
      <protection locked="0"/>
    </xf>
    <xf numFmtId="0" fontId="4" fillId="2" borderId="122" xfId="0" applyFont="1" applyFill="1" applyBorder="1" applyAlignment="1" applyProtection="1">
      <alignment vertical="center"/>
      <protection locked="0"/>
    </xf>
    <xf numFmtId="0" fontId="4" fillId="2" borderId="13" xfId="0" applyFont="1" applyFill="1" applyBorder="1" applyAlignment="1" applyProtection="1">
      <alignment vertical="center"/>
      <protection locked="0"/>
    </xf>
    <xf numFmtId="0" fontId="4" fillId="2" borderId="2" xfId="0" applyFont="1" applyFill="1" applyBorder="1" applyAlignment="1" applyProtection="1">
      <alignment horizontal="center" vertical="center"/>
      <protection locked="0"/>
    </xf>
    <xf numFmtId="182" fontId="0" fillId="2" borderId="2" xfId="1" applyNumberFormat="1" applyFont="1" applyFill="1" applyBorder="1" applyAlignment="1" applyProtection="1">
      <alignment horizontal="right" vertical="center"/>
      <protection locked="0"/>
    </xf>
    <xf numFmtId="182" fontId="2" fillId="2" borderId="2" xfId="1" applyNumberFormat="1" applyFill="1" applyBorder="1" applyAlignment="1" applyProtection="1">
      <alignment vertical="center"/>
      <protection locked="0"/>
    </xf>
    <xf numFmtId="177" fontId="0" fillId="2" borderId="17" xfId="0" applyNumberFormat="1" applyFill="1" applyBorder="1" applyAlignment="1" applyProtection="1">
      <alignment vertical="center"/>
      <protection locked="0"/>
    </xf>
    <xf numFmtId="182" fontId="3" fillId="2" borderId="64" xfId="1" applyNumberFormat="1" applyFont="1" applyFill="1" applyBorder="1" applyAlignment="1" applyProtection="1">
      <alignment horizontal="right" vertical="center"/>
      <protection locked="0"/>
    </xf>
    <xf numFmtId="182" fontId="3" fillId="2" borderId="9" xfId="1" applyNumberFormat="1" applyFont="1" applyFill="1" applyBorder="1" applyAlignment="1" applyProtection="1">
      <alignment horizontal="right" vertical="center"/>
      <protection locked="0"/>
    </xf>
    <xf numFmtId="0" fontId="7" fillId="2" borderId="0" xfId="0" applyFont="1" applyFill="1" applyAlignment="1">
      <alignment horizontal="center" vertical="center"/>
    </xf>
    <xf numFmtId="0" fontId="7" fillId="2" borderId="0" xfId="0" applyFont="1" applyFill="1" applyAlignment="1">
      <alignment vertical="center"/>
    </xf>
    <xf numFmtId="0" fontId="3" fillId="2" borderId="0" xfId="0" applyFont="1" applyFill="1" applyAlignment="1">
      <alignment horizontal="center" vertical="center"/>
    </xf>
    <xf numFmtId="177" fontId="6" fillId="18" borderId="18" xfId="0" applyNumberFormat="1" applyFont="1" applyFill="1" applyBorder="1" applyAlignment="1" applyProtection="1">
      <alignment vertical="center"/>
      <protection locked="0"/>
    </xf>
    <xf numFmtId="0" fontId="4" fillId="18" borderId="1" xfId="0" applyFont="1" applyFill="1" applyBorder="1" applyAlignment="1" applyProtection="1">
      <alignment vertical="center"/>
      <protection locked="0"/>
    </xf>
    <xf numFmtId="177" fontId="4" fillId="18" borderId="4" xfId="0" applyNumberFormat="1" applyFont="1" applyFill="1" applyBorder="1" applyAlignment="1" applyProtection="1">
      <alignment vertical="center"/>
      <protection locked="0"/>
    </xf>
    <xf numFmtId="177" fontId="3" fillId="18" borderId="1" xfId="0" applyNumberFormat="1" applyFont="1" applyFill="1" applyBorder="1" applyAlignment="1" applyProtection="1">
      <alignment vertical="center"/>
      <protection locked="0"/>
    </xf>
    <xf numFmtId="177" fontId="3" fillId="18" borderId="4" xfId="0" applyNumberFormat="1" applyFont="1" applyFill="1" applyBorder="1" applyAlignment="1" applyProtection="1">
      <alignment vertical="center"/>
      <protection locked="0"/>
    </xf>
    <xf numFmtId="177" fontId="3" fillId="18" borderId="77" xfId="1" applyNumberFormat="1" applyFont="1" applyFill="1" applyBorder="1" applyAlignment="1" applyProtection="1">
      <alignment vertical="center" wrapText="1"/>
      <protection locked="0"/>
    </xf>
    <xf numFmtId="177" fontId="3" fillId="18" borderId="122" xfId="0" applyNumberFormat="1" applyFont="1" applyFill="1" applyBorder="1" applyAlignment="1" applyProtection="1">
      <alignment vertical="center"/>
      <protection locked="0"/>
    </xf>
    <xf numFmtId="0" fontId="0" fillId="2" borderId="2" xfId="0" applyFill="1" applyBorder="1" applyAlignment="1" applyProtection="1">
      <alignment horizontal="left" vertical="center"/>
      <protection locked="0"/>
    </xf>
    <xf numFmtId="0" fontId="0" fillId="2" borderId="2" xfId="0" applyFill="1" applyBorder="1" applyAlignment="1" applyProtection="1">
      <alignment vertical="center"/>
      <protection locked="0"/>
    </xf>
    <xf numFmtId="182" fontId="7" fillId="2" borderId="0" xfId="0" applyNumberFormat="1" applyFont="1" applyFill="1" applyAlignment="1">
      <alignment vertical="center"/>
    </xf>
    <xf numFmtId="182" fontId="7" fillId="2" borderId="0" xfId="1" applyNumberFormat="1" applyFont="1" applyFill="1" applyAlignment="1" applyProtection="1">
      <alignment vertical="center"/>
    </xf>
    <xf numFmtId="182" fontId="67" fillId="2" borderId="0" xfId="4" applyNumberFormat="1" applyFont="1" applyFill="1" applyAlignment="1" applyProtection="1">
      <alignment vertical="center"/>
    </xf>
    <xf numFmtId="182" fontId="68" fillId="2" borderId="0" xfId="4" applyNumberFormat="1" applyFont="1" applyFill="1" applyAlignment="1" applyProtection="1">
      <alignment vertical="center"/>
    </xf>
    <xf numFmtId="182" fontId="65" fillId="2" borderId="0" xfId="1" applyNumberFormat="1" applyFont="1" applyFill="1" applyBorder="1" applyAlignment="1" applyProtection="1">
      <alignment horizontal="center" vertical="center"/>
    </xf>
    <xf numFmtId="182" fontId="0" fillId="0" borderId="0" xfId="0" applyNumberFormat="1" applyAlignment="1">
      <alignment vertical="center"/>
    </xf>
    <xf numFmtId="182" fontId="13" fillId="0" borderId="0" xfId="0" applyNumberFormat="1" applyFont="1" applyAlignment="1">
      <alignment vertical="center"/>
    </xf>
    <xf numFmtId="182" fontId="0" fillId="0" borderId="0" xfId="1" applyNumberFormat="1" applyFont="1" applyBorder="1" applyAlignment="1" applyProtection="1">
      <alignment vertical="center"/>
    </xf>
    <xf numFmtId="0" fontId="4" fillId="0" borderId="0" xfId="4" applyFont="1" applyBorder="1" applyAlignment="1" applyProtection="1">
      <alignment horizontal="center" vertical="center"/>
    </xf>
    <xf numFmtId="182" fontId="3" fillId="0" borderId="1" xfId="1" applyNumberFormat="1" applyFont="1" applyBorder="1" applyAlignment="1" applyProtection="1">
      <alignment vertical="center"/>
    </xf>
    <xf numFmtId="182" fontId="0" fillId="0" borderId="1" xfId="1" applyNumberFormat="1" applyFont="1" applyBorder="1" applyAlignment="1" applyProtection="1">
      <alignment vertical="center"/>
    </xf>
    <xf numFmtId="167" fontId="3" fillId="2" borderId="0" xfId="1" applyNumberFormat="1" applyFont="1" applyFill="1" applyBorder="1" applyAlignment="1" applyProtection="1">
      <alignment horizontal="center" vertical="center"/>
    </xf>
    <xf numFmtId="0" fontId="3" fillId="2" borderId="2" xfId="1" applyNumberFormat="1" applyFont="1" applyFill="1" applyBorder="1" applyAlignment="1" applyProtection="1">
      <alignment horizontal="center" vertical="center" wrapText="1"/>
    </xf>
    <xf numFmtId="0" fontId="8" fillId="2" borderId="2" xfId="3" applyNumberFormat="1" applyFont="1" applyFill="1" applyBorder="1" applyAlignment="1" applyProtection="1">
      <alignment horizontal="center" vertical="center" wrapText="1"/>
    </xf>
    <xf numFmtId="0" fontId="0" fillId="20" borderId="17" xfId="0" applyFill="1" applyBorder="1" applyAlignment="1">
      <alignment horizontal="center" vertical="center" wrapText="1"/>
    </xf>
    <xf numFmtId="0" fontId="3" fillId="2" borderId="2" xfId="1" applyNumberFormat="1" applyFont="1" applyFill="1" applyBorder="1" applyAlignment="1" applyProtection="1">
      <alignment vertical="center" wrapText="1"/>
    </xf>
    <xf numFmtId="0" fontId="4" fillId="2" borderId="2" xfId="1" applyNumberFormat="1" applyFont="1" applyFill="1" applyBorder="1" applyAlignment="1" applyProtection="1">
      <alignment horizontal="center" vertical="center" wrapText="1"/>
    </xf>
    <xf numFmtId="182" fontId="4" fillId="0" borderId="18" xfId="0" applyNumberFormat="1" applyFont="1" applyBorder="1" applyAlignment="1">
      <alignment vertical="center"/>
    </xf>
    <xf numFmtId="182" fontId="4" fillId="0" borderId="20" xfId="0" applyNumberFormat="1" applyFont="1" applyBorder="1" applyAlignment="1">
      <alignment vertical="center"/>
    </xf>
    <xf numFmtId="0" fontId="0" fillId="20" borderId="7" xfId="0" applyFill="1" applyBorder="1" applyAlignment="1">
      <alignment horizontal="center" vertical="center" wrapText="1"/>
    </xf>
    <xf numFmtId="0" fontId="3" fillId="2" borderId="2" xfId="0" applyFont="1" applyFill="1" applyBorder="1" applyAlignment="1">
      <alignment vertical="center" wrapText="1"/>
    </xf>
    <xf numFmtId="182" fontId="4" fillId="0" borderId="0" xfId="0" applyNumberFormat="1" applyFont="1" applyAlignment="1">
      <alignment vertical="center"/>
    </xf>
    <xf numFmtId="182" fontId="4" fillId="0" borderId="8" xfId="0" applyNumberFormat="1" applyFont="1" applyBorder="1" applyAlignment="1">
      <alignment vertical="center"/>
    </xf>
    <xf numFmtId="182" fontId="3" fillId="2" borderId="2" xfId="1" applyNumberFormat="1" applyFont="1" applyFill="1" applyBorder="1" applyAlignment="1" applyProtection="1">
      <alignment horizontal="center" vertical="center" wrapText="1"/>
    </xf>
    <xf numFmtId="167" fontId="8" fillId="2" borderId="2" xfId="3" applyFont="1" applyFill="1" applyBorder="1" applyAlignment="1" applyProtection="1">
      <alignment horizontal="center" vertical="center" wrapText="1"/>
    </xf>
    <xf numFmtId="0" fontId="3" fillId="2" borderId="2" xfId="0" applyFont="1" applyFill="1" applyBorder="1" applyAlignment="1">
      <alignment horizontal="left" vertical="center"/>
    </xf>
    <xf numFmtId="0" fontId="4" fillId="18" borderId="20" xfId="0" applyFont="1" applyFill="1" applyBorder="1" applyAlignment="1">
      <alignment horizontal="center" vertical="center"/>
    </xf>
    <xf numFmtId="182" fontId="3" fillId="2" borderId="0" xfId="1" applyNumberFormat="1" applyFont="1" applyFill="1" applyBorder="1" applyAlignment="1" applyProtection="1">
      <alignment vertical="center" wrapText="1"/>
    </xf>
    <xf numFmtId="182" fontId="6" fillId="0" borderId="0" xfId="0" applyNumberFormat="1" applyFont="1" applyAlignment="1">
      <alignment vertical="center"/>
    </xf>
    <xf numFmtId="177" fontId="6" fillId="18" borderId="15" xfId="0" applyNumberFormat="1" applyFont="1" applyFill="1" applyBorder="1" applyAlignment="1">
      <alignment vertical="center"/>
    </xf>
    <xf numFmtId="177" fontId="6" fillId="18" borderId="18" xfId="0" applyNumberFormat="1" applyFont="1" applyFill="1" applyBorder="1" applyAlignment="1">
      <alignment vertical="center"/>
    </xf>
    <xf numFmtId="167" fontId="6" fillId="18" borderId="20" xfId="3" applyFont="1" applyFill="1" applyBorder="1" applyAlignment="1" applyProtection="1">
      <alignment vertical="center"/>
    </xf>
    <xf numFmtId="0" fontId="4" fillId="18" borderId="20" xfId="0" applyFont="1" applyFill="1" applyBorder="1" applyAlignment="1">
      <alignment vertical="center"/>
    </xf>
    <xf numFmtId="0" fontId="4" fillId="18" borderId="21" xfId="0" applyFont="1" applyFill="1" applyBorder="1" applyAlignment="1">
      <alignment horizontal="center" vertical="center"/>
    </xf>
    <xf numFmtId="182" fontId="0" fillId="0" borderId="1" xfId="0" applyNumberFormat="1" applyBorder="1" applyAlignment="1">
      <alignment vertical="center"/>
    </xf>
    <xf numFmtId="182" fontId="3" fillId="0" borderId="1" xfId="0" applyNumberFormat="1" applyFont="1" applyBorder="1" applyAlignment="1">
      <alignment vertical="center"/>
    </xf>
    <xf numFmtId="0" fontId="4" fillId="18" borderId="14" xfId="0" applyFont="1" applyFill="1" applyBorder="1" applyAlignment="1">
      <alignment vertical="center"/>
    </xf>
    <xf numFmtId="0" fontId="4" fillId="18" borderId="1" xfId="0" applyFont="1" applyFill="1" applyBorder="1" applyAlignment="1">
      <alignment vertical="center"/>
    </xf>
    <xf numFmtId="167" fontId="4" fillId="18" borderId="21" xfId="3" applyFont="1" applyFill="1" applyBorder="1" applyAlignment="1" applyProtection="1">
      <alignment vertical="center"/>
    </xf>
    <xf numFmtId="0" fontId="4" fillId="18" borderId="21" xfId="0" applyFont="1" applyFill="1" applyBorder="1" applyAlignment="1">
      <alignment vertical="center"/>
    </xf>
    <xf numFmtId="182" fontId="0" fillId="0" borderId="17" xfId="0" applyNumberFormat="1" applyBorder="1" applyAlignment="1">
      <alignment vertical="center"/>
    </xf>
    <xf numFmtId="182" fontId="0" fillId="0" borderId="2" xfId="0" applyNumberFormat="1" applyBorder="1" applyAlignment="1">
      <alignment vertical="center"/>
    </xf>
    <xf numFmtId="182" fontId="0" fillId="0" borderId="2" xfId="0" applyNumberFormat="1" applyBorder="1" applyAlignment="1">
      <alignment horizontal="right" vertical="center"/>
    </xf>
    <xf numFmtId="182" fontId="0" fillId="0" borderId="3" xfId="1" applyNumberFormat="1" applyFont="1" applyBorder="1" applyAlignment="1" applyProtection="1">
      <alignment horizontal="right" vertical="center"/>
    </xf>
    <xf numFmtId="182" fontId="0" fillId="2" borderId="3" xfId="0" applyNumberFormat="1" applyFill="1" applyBorder="1" applyAlignment="1">
      <alignment horizontal="right" vertical="center"/>
    </xf>
    <xf numFmtId="182" fontId="0" fillId="2" borderId="2" xfId="0" applyNumberFormat="1" applyFill="1" applyBorder="1" applyAlignment="1">
      <alignment horizontal="right" vertical="center"/>
    </xf>
    <xf numFmtId="178" fontId="7" fillId="2" borderId="2" xfId="3" applyNumberFormat="1" applyFont="1" applyFill="1" applyBorder="1" applyAlignment="1" applyProtection="1">
      <alignment horizontal="right" vertical="center"/>
    </xf>
    <xf numFmtId="0" fontId="0" fillId="20" borderId="7" xfId="0" applyFill="1" applyBorder="1" applyAlignment="1">
      <alignment horizontal="center" vertical="center"/>
    </xf>
    <xf numFmtId="177" fontId="7" fillId="2" borderId="2" xfId="0" applyNumberFormat="1" applyFont="1" applyFill="1" applyBorder="1" applyAlignment="1">
      <alignment horizontal="left" vertical="center"/>
    </xf>
    <xf numFmtId="182" fontId="0" fillId="0" borderId="13" xfId="0" applyNumberFormat="1" applyBorder="1" applyAlignment="1">
      <alignment vertical="center"/>
    </xf>
    <xf numFmtId="182" fontId="0" fillId="0" borderId="13" xfId="0" applyNumberFormat="1" applyBorder="1" applyAlignment="1">
      <alignment horizontal="right" vertical="center"/>
    </xf>
    <xf numFmtId="182" fontId="3" fillId="3" borderId="2" xfId="1" applyNumberFormat="1" applyFont="1" applyFill="1" applyBorder="1" applyAlignment="1" applyProtection="1">
      <alignment horizontal="right" vertical="center"/>
    </xf>
    <xf numFmtId="182" fontId="3" fillId="3" borderId="3" xfId="1" applyNumberFormat="1" applyFont="1" applyFill="1" applyBorder="1" applyAlignment="1" applyProtection="1">
      <alignment horizontal="right" vertical="center"/>
    </xf>
    <xf numFmtId="182" fontId="3" fillId="2" borderId="2" xfId="1" applyNumberFormat="1" applyFont="1" applyFill="1" applyBorder="1" applyAlignment="1" applyProtection="1">
      <alignment horizontal="right" vertical="center"/>
    </xf>
    <xf numFmtId="178" fontId="8" fillId="2" borderId="2" xfId="3" applyNumberFormat="1" applyFont="1" applyFill="1" applyBorder="1" applyAlignment="1" applyProtection="1">
      <alignment horizontal="right" vertical="center"/>
    </xf>
    <xf numFmtId="177" fontId="3" fillId="2" borderId="2" xfId="0" applyNumberFormat="1" applyFont="1" applyFill="1" applyBorder="1" applyAlignment="1">
      <alignment horizontal="left" vertical="center"/>
    </xf>
    <xf numFmtId="177" fontId="50" fillId="2" borderId="6" xfId="0" applyNumberFormat="1" applyFont="1" applyFill="1" applyBorder="1" applyAlignment="1">
      <alignment horizontal="left" vertical="center"/>
    </xf>
    <xf numFmtId="0" fontId="4" fillId="18" borderId="5" xfId="0" applyFont="1" applyFill="1" applyBorder="1" applyAlignment="1">
      <alignment horizontal="center" vertical="center"/>
    </xf>
    <xf numFmtId="182" fontId="3" fillId="0" borderId="18" xfId="0" applyNumberFormat="1" applyFont="1" applyBorder="1" applyAlignment="1">
      <alignment vertical="center"/>
    </xf>
    <xf numFmtId="182" fontId="0" fillId="0" borderId="0" xfId="1" applyNumberFormat="1" applyFont="1" applyAlignment="1" applyProtection="1">
      <alignment vertical="center"/>
    </xf>
    <xf numFmtId="182" fontId="0" fillId="0" borderId="6" xfId="1" applyNumberFormat="1" applyFont="1" applyBorder="1" applyAlignment="1" applyProtection="1">
      <alignment vertical="center"/>
    </xf>
    <xf numFmtId="177" fontId="4" fillId="18" borderId="3" xfId="0" applyNumberFormat="1" applyFont="1" applyFill="1" applyBorder="1" applyAlignment="1">
      <alignment vertical="center"/>
    </xf>
    <xf numFmtId="177" fontId="4" fillId="18" borderId="4" xfId="0" applyNumberFormat="1" applyFont="1" applyFill="1" applyBorder="1" applyAlignment="1">
      <alignment vertical="center"/>
    </xf>
    <xf numFmtId="167" fontId="4" fillId="18" borderId="5" xfId="3" applyFont="1" applyFill="1" applyBorder="1" applyAlignment="1" applyProtection="1">
      <alignment vertical="center"/>
    </xf>
    <xf numFmtId="0" fontId="4" fillId="18" borderId="5" xfId="0" applyFont="1" applyFill="1" applyBorder="1" applyAlignment="1">
      <alignment vertical="center"/>
    </xf>
    <xf numFmtId="182" fontId="0" fillId="0" borderId="2" xfId="1" applyNumberFormat="1" applyFont="1" applyBorder="1" applyAlignment="1" applyProtection="1">
      <alignment horizontal="right" vertical="center"/>
    </xf>
    <xf numFmtId="182" fontId="0" fillId="2" borderId="2" xfId="1" applyNumberFormat="1" applyFont="1" applyFill="1" applyBorder="1" applyAlignment="1" applyProtection="1">
      <alignment horizontal="right" vertical="center"/>
    </xf>
    <xf numFmtId="182" fontId="0" fillId="17" borderId="3" xfId="1" applyNumberFormat="1" applyFont="1" applyFill="1" applyBorder="1" applyAlignment="1" applyProtection="1">
      <alignment horizontal="right" vertical="center"/>
    </xf>
    <xf numFmtId="182" fontId="0" fillId="17" borderId="2" xfId="1" applyNumberFormat="1" applyFont="1" applyFill="1" applyBorder="1" applyAlignment="1" applyProtection="1">
      <alignment horizontal="right" vertical="center"/>
    </xf>
    <xf numFmtId="182" fontId="2" fillId="2" borderId="2" xfId="1" applyNumberFormat="1" applyFont="1" applyFill="1" applyBorder="1" applyAlignment="1" applyProtection="1">
      <alignment horizontal="right" vertical="center"/>
    </xf>
    <xf numFmtId="0" fontId="3" fillId="20" borderId="7" xfId="0" applyFont="1" applyFill="1" applyBorder="1" applyAlignment="1">
      <alignment vertical="center"/>
    </xf>
    <xf numFmtId="182" fontId="3" fillId="4" borderId="9" xfId="1" applyNumberFormat="1" applyFont="1" applyFill="1" applyBorder="1" applyAlignment="1" applyProtection="1">
      <alignment horizontal="right" vertical="center"/>
    </xf>
    <xf numFmtId="182" fontId="3" fillId="4" borderId="10" xfId="1" applyNumberFormat="1" applyFont="1" applyFill="1" applyBorder="1" applyAlignment="1" applyProtection="1">
      <alignment horizontal="right" vertical="center"/>
    </xf>
    <xf numFmtId="0" fontId="0" fillId="20" borderId="7" xfId="0" applyFill="1" applyBorder="1" applyAlignment="1">
      <alignment vertical="center"/>
    </xf>
    <xf numFmtId="177" fontId="6" fillId="2" borderId="2" xfId="0" applyNumberFormat="1" applyFont="1" applyFill="1" applyBorder="1" applyAlignment="1">
      <alignment horizontal="left" vertical="center"/>
    </xf>
    <xf numFmtId="182" fontId="6" fillId="0" borderId="16" xfId="0" applyNumberFormat="1" applyFont="1" applyBorder="1" applyAlignment="1">
      <alignment vertical="center"/>
    </xf>
    <xf numFmtId="0" fontId="3" fillId="18" borderId="21" xfId="0" applyFont="1" applyFill="1" applyBorder="1" applyAlignment="1">
      <alignment horizontal="center" vertical="center"/>
    </xf>
    <xf numFmtId="182" fontId="3" fillId="0" borderId="0" xfId="0" applyNumberFormat="1" applyFont="1" applyAlignment="1">
      <alignment vertical="center"/>
    </xf>
    <xf numFmtId="177" fontId="3" fillId="18" borderId="14" xfId="0" applyNumberFormat="1" applyFont="1" applyFill="1" applyBorder="1" applyAlignment="1">
      <alignment vertical="center"/>
    </xf>
    <xf numFmtId="177" fontId="3" fillId="18" borderId="1" xfId="0" applyNumberFormat="1" applyFont="1" applyFill="1" applyBorder="1" applyAlignment="1">
      <alignment vertical="center"/>
    </xf>
    <xf numFmtId="167" fontId="3" fillId="18" borderId="21" xfId="3" applyFont="1" applyFill="1" applyBorder="1" applyAlignment="1" applyProtection="1">
      <alignment vertical="center"/>
    </xf>
    <xf numFmtId="0" fontId="3" fillId="18" borderId="21" xfId="0" applyFont="1" applyFill="1" applyBorder="1" applyAlignment="1">
      <alignment vertical="center"/>
    </xf>
    <xf numFmtId="182" fontId="0" fillId="2" borderId="3" xfId="1" applyNumberFormat="1" applyFont="1" applyFill="1" applyBorder="1" applyAlignment="1" applyProtection="1">
      <alignment horizontal="right" vertical="center"/>
    </xf>
    <xf numFmtId="182" fontId="0" fillId="2" borderId="2" xfId="0" applyNumberFormat="1" applyFill="1" applyBorder="1" applyAlignment="1">
      <alignment vertical="center"/>
    </xf>
    <xf numFmtId="182" fontId="7" fillId="2" borderId="3" xfId="0" applyNumberFormat="1" applyFont="1" applyFill="1" applyBorder="1" applyAlignment="1">
      <alignment horizontal="right" vertical="center"/>
    </xf>
    <xf numFmtId="182" fontId="7" fillId="2" borderId="2" xfId="0" applyNumberFormat="1" applyFont="1" applyFill="1" applyBorder="1" applyAlignment="1">
      <alignment horizontal="right" vertical="center"/>
    </xf>
    <xf numFmtId="0" fontId="3" fillId="18" borderId="5" xfId="0" applyFont="1" applyFill="1" applyBorder="1" applyAlignment="1">
      <alignment horizontal="center" vertical="center"/>
    </xf>
    <xf numFmtId="177" fontId="3" fillId="18" borderId="3" xfId="0" applyNumberFormat="1" applyFont="1" applyFill="1" applyBorder="1" applyAlignment="1">
      <alignment vertical="center"/>
    </xf>
    <xf numFmtId="177" fontId="3" fillId="18" borderId="4" xfId="0" applyNumberFormat="1" applyFont="1" applyFill="1" applyBorder="1" applyAlignment="1">
      <alignment vertical="center"/>
    </xf>
    <xf numFmtId="0" fontId="3" fillId="18" borderId="5" xfId="0" applyFont="1" applyFill="1" applyBorder="1" applyAlignment="1">
      <alignment vertical="center"/>
    </xf>
    <xf numFmtId="182" fontId="5" fillId="2" borderId="2" xfId="1" quotePrefix="1" applyNumberFormat="1" applyFont="1" applyFill="1" applyBorder="1" applyAlignment="1" applyProtection="1">
      <alignment horizontal="center" vertical="center" wrapText="1"/>
    </xf>
    <xf numFmtId="182" fontId="0" fillId="0" borderId="3" xfId="1" applyNumberFormat="1" applyFont="1" applyBorder="1" applyAlignment="1" applyProtection="1">
      <alignment vertical="center"/>
    </xf>
    <xf numFmtId="182" fontId="0" fillId="0" borderId="2" xfId="1" applyNumberFormat="1" applyFont="1" applyBorder="1" applyAlignment="1" applyProtection="1">
      <alignment vertical="center"/>
    </xf>
    <xf numFmtId="182" fontId="0" fillId="2" borderId="2" xfId="1" applyNumberFormat="1" applyFont="1" applyFill="1" applyBorder="1" applyAlignment="1" applyProtection="1">
      <alignment vertical="center"/>
    </xf>
    <xf numFmtId="182" fontId="3" fillId="0" borderId="2" xfId="0" applyNumberFormat="1" applyFont="1" applyBorder="1" applyAlignment="1">
      <alignment vertical="center"/>
    </xf>
    <xf numFmtId="182" fontId="3" fillId="0" borderId="2" xfId="0" applyNumberFormat="1" applyFont="1" applyBorder="1" applyAlignment="1">
      <alignment horizontal="center" vertical="center"/>
    </xf>
    <xf numFmtId="182" fontId="3" fillId="0" borderId="3" xfId="0" applyNumberFormat="1" applyFont="1" applyBorder="1" applyAlignment="1">
      <alignment horizontal="center" vertical="center"/>
    </xf>
    <xf numFmtId="0" fontId="4" fillId="2" borderId="9" xfId="0" applyFont="1" applyFill="1" applyBorder="1" applyAlignment="1">
      <alignment horizontal="center" vertical="center"/>
    </xf>
    <xf numFmtId="182" fontId="3" fillId="2" borderId="9" xfId="1" applyNumberFormat="1" applyFont="1" applyFill="1" applyBorder="1" applyAlignment="1" applyProtection="1">
      <alignment horizontal="right" vertical="center"/>
    </xf>
    <xf numFmtId="177" fontId="6" fillId="2" borderId="9" xfId="0" applyNumberFormat="1" applyFont="1" applyFill="1" applyBorder="1" applyAlignment="1">
      <alignment horizontal="left" vertical="center"/>
    </xf>
    <xf numFmtId="0" fontId="4" fillId="2" borderId="9" xfId="0" applyFont="1" applyFill="1" applyBorder="1" applyAlignment="1">
      <alignment horizontal="left" vertical="center"/>
    </xf>
    <xf numFmtId="0" fontId="3" fillId="18" borderId="26" xfId="1" applyNumberFormat="1" applyFont="1" applyFill="1" applyBorder="1" applyAlignment="1" applyProtection="1">
      <alignment horizontal="center" vertical="center" wrapText="1"/>
    </xf>
    <xf numFmtId="182" fontId="15" fillId="2" borderId="0" xfId="1" applyNumberFormat="1" applyFont="1" applyFill="1" applyAlignment="1" applyProtection="1">
      <alignment vertical="center"/>
    </xf>
    <xf numFmtId="182" fontId="15" fillId="2" borderId="0" xfId="1" applyNumberFormat="1" applyFont="1" applyFill="1" applyBorder="1" applyAlignment="1" applyProtection="1">
      <alignment vertical="center"/>
    </xf>
    <xf numFmtId="177" fontId="3" fillId="18" borderId="25" xfId="1" applyNumberFormat="1" applyFont="1" applyFill="1" applyBorder="1" applyAlignment="1" applyProtection="1">
      <alignment vertical="center" wrapText="1"/>
    </xf>
    <xf numFmtId="177" fontId="3" fillId="18" borderId="77" xfId="1" applyNumberFormat="1" applyFont="1" applyFill="1" applyBorder="1" applyAlignment="1" applyProtection="1">
      <alignment vertical="center" wrapText="1"/>
    </xf>
    <xf numFmtId="177" fontId="3" fillId="18" borderId="25" xfId="1" applyNumberFormat="1" applyFont="1" applyFill="1" applyBorder="1" applyAlignment="1" applyProtection="1">
      <alignment vertical="center"/>
    </xf>
    <xf numFmtId="0" fontId="3" fillId="18" borderId="26" xfId="1" applyNumberFormat="1" applyFont="1" applyFill="1" applyBorder="1" applyAlignment="1" applyProtection="1">
      <alignment vertical="center" wrapText="1"/>
    </xf>
    <xf numFmtId="177" fontId="3" fillId="2" borderId="0" xfId="1" applyNumberFormat="1" applyFont="1" applyFill="1" applyBorder="1" applyAlignment="1" applyProtection="1">
      <alignment vertical="center" wrapText="1"/>
    </xf>
    <xf numFmtId="182" fontId="20" fillId="2" borderId="3" xfId="1" applyNumberFormat="1" applyFont="1" applyFill="1" applyBorder="1" applyAlignment="1" applyProtection="1">
      <alignment vertical="center"/>
    </xf>
    <xf numFmtId="182" fontId="20" fillId="2" borderId="4" xfId="1" applyNumberFormat="1" applyFont="1" applyFill="1" applyBorder="1" applyAlignment="1" applyProtection="1">
      <alignment vertical="center"/>
    </xf>
    <xf numFmtId="182" fontId="5" fillId="0" borderId="3" xfId="0" applyNumberFormat="1" applyFont="1" applyBorder="1" applyAlignment="1">
      <alignment vertical="center"/>
    </xf>
    <xf numFmtId="182" fontId="2" fillId="2" borderId="5" xfId="1" applyNumberFormat="1" applyFill="1" applyBorder="1" applyAlignment="1" applyProtection="1">
      <alignment vertical="center"/>
    </xf>
    <xf numFmtId="182" fontId="2" fillId="2" borderId="2" xfId="1" applyNumberFormat="1" applyFill="1" applyBorder="1" applyAlignment="1" applyProtection="1">
      <alignment vertical="center"/>
    </xf>
    <xf numFmtId="182" fontId="2" fillId="2" borderId="3" xfId="1" applyNumberFormat="1" applyFill="1" applyBorder="1" applyAlignment="1" applyProtection="1">
      <alignment vertical="center"/>
    </xf>
    <xf numFmtId="182" fontId="2" fillId="2" borderId="3" xfId="1" applyNumberFormat="1" applyFill="1" applyBorder="1" applyAlignment="1" applyProtection="1">
      <alignment horizontal="right" vertical="center"/>
    </xf>
    <xf numFmtId="182" fontId="2" fillId="2" borderId="2" xfId="1" applyNumberFormat="1" applyFill="1" applyBorder="1" applyAlignment="1" applyProtection="1">
      <alignment horizontal="right" vertical="center"/>
    </xf>
    <xf numFmtId="167" fontId="7" fillId="2" borderId="2" xfId="3" applyFont="1" applyFill="1" applyBorder="1" applyAlignment="1" applyProtection="1">
      <alignment horizontal="right" vertical="center"/>
    </xf>
    <xf numFmtId="182" fontId="5" fillId="2" borderId="3" xfId="0" applyNumberFormat="1" applyFont="1" applyFill="1" applyBorder="1" applyAlignment="1">
      <alignment vertical="center"/>
    </xf>
    <xf numFmtId="177" fontId="4" fillId="2" borderId="2" xfId="0" applyNumberFormat="1" applyFont="1" applyFill="1" applyBorder="1" applyAlignment="1">
      <alignment horizontal="left" vertical="center"/>
    </xf>
    <xf numFmtId="182" fontId="2" fillId="2" borderId="17" xfId="1" applyNumberFormat="1" applyFill="1" applyBorder="1" applyAlignment="1" applyProtection="1">
      <alignment vertical="center"/>
    </xf>
    <xf numFmtId="182" fontId="2" fillId="2" borderId="15" xfId="1" applyNumberFormat="1" applyFill="1" applyBorder="1" applyAlignment="1" applyProtection="1">
      <alignment vertical="center"/>
    </xf>
    <xf numFmtId="182" fontId="2" fillId="2" borderId="15" xfId="1" applyNumberFormat="1" applyFill="1" applyBorder="1" applyAlignment="1" applyProtection="1">
      <alignment horizontal="right" vertical="center"/>
    </xf>
    <xf numFmtId="182" fontId="2" fillId="2" borderId="17" xfId="1" applyNumberFormat="1" applyFill="1" applyBorder="1" applyAlignment="1" applyProtection="1">
      <alignment horizontal="right" vertical="center"/>
    </xf>
    <xf numFmtId="182" fontId="20" fillId="2" borderId="15" xfId="1" applyNumberFormat="1" applyFont="1" applyFill="1" applyBorder="1" applyAlignment="1" applyProtection="1">
      <alignment vertical="center"/>
    </xf>
    <xf numFmtId="182" fontId="20" fillId="2" borderId="18" xfId="1" applyNumberFormat="1" applyFont="1" applyFill="1" applyBorder="1" applyAlignment="1" applyProtection="1">
      <alignment vertical="center"/>
    </xf>
    <xf numFmtId="182" fontId="5" fillId="2" borderId="15" xfId="0" applyNumberFormat="1" applyFont="1" applyFill="1" applyBorder="1" applyAlignment="1">
      <alignment vertical="center"/>
    </xf>
    <xf numFmtId="182" fontId="2" fillId="2" borderId="20" xfId="1" applyNumberFormat="1" applyFill="1" applyBorder="1" applyAlignment="1" applyProtection="1">
      <alignment vertical="center"/>
    </xf>
    <xf numFmtId="0" fontId="3" fillId="20" borderId="7" xfId="0" applyFont="1" applyFill="1" applyBorder="1" applyAlignment="1">
      <alignment horizontal="left" vertical="center"/>
    </xf>
    <xf numFmtId="182" fontId="20" fillId="2" borderId="5" xfId="1" applyNumberFormat="1" applyFont="1" applyFill="1" applyBorder="1" applyAlignment="1" applyProtection="1">
      <alignment vertical="center"/>
    </xf>
    <xf numFmtId="182" fontId="20" fillId="2" borderId="20" xfId="1" applyNumberFormat="1" applyFont="1" applyFill="1" applyBorder="1" applyAlignment="1" applyProtection="1">
      <alignment vertical="center"/>
    </xf>
    <xf numFmtId="177" fontId="5" fillId="2" borderId="2" xfId="0" applyNumberFormat="1" applyFont="1" applyFill="1" applyBorder="1" applyAlignment="1">
      <alignment vertical="center"/>
    </xf>
    <xf numFmtId="182" fontId="0" fillId="0" borderId="5" xfId="0" applyNumberFormat="1" applyBorder="1" applyAlignment="1">
      <alignment vertical="center"/>
    </xf>
    <xf numFmtId="182" fontId="5" fillId="0" borderId="2" xfId="0" applyNumberFormat="1" applyFont="1" applyBorder="1" applyAlignment="1">
      <alignment vertical="center"/>
    </xf>
    <xf numFmtId="0" fontId="3" fillId="2" borderId="17" xfId="0" applyFont="1" applyFill="1" applyBorder="1" applyAlignment="1">
      <alignment horizontal="center" vertical="center"/>
    </xf>
    <xf numFmtId="182" fontId="0" fillId="0" borderId="38" xfId="0" applyNumberFormat="1" applyBorder="1" applyAlignment="1">
      <alignment vertical="center"/>
    </xf>
    <xf numFmtId="182" fontId="0" fillId="0" borderId="58" xfId="0" applyNumberFormat="1" applyBorder="1" applyAlignment="1">
      <alignment vertical="center"/>
    </xf>
    <xf numFmtId="182" fontId="5" fillId="0" borderId="59" xfId="0" applyNumberFormat="1" applyFont="1" applyBorder="1" applyAlignment="1">
      <alignment vertical="center"/>
    </xf>
    <xf numFmtId="182" fontId="0" fillId="0" borderId="28" xfId="0" applyNumberFormat="1" applyBorder="1" applyAlignment="1">
      <alignment vertical="center"/>
    </xf>
    <xf numFmtId="182" fontId="0" fillId="0" borderId="27" xfId="0" applyNumberFormat="1" applyBorder="1" applyAlignment="1">
      <alignment vertical="center"/>
    </xf>
    <xf numFmtId="182" fontId="0" fillId="0" borderId="59" xfId="1" applyNumberFormat="1" applyFont="1" applyBorder="1" applyAlignment="1" applyProtection="1">
      <alignment vertical="center"/>
    </xf>
    <xf numFmtId="182" fontId="0" fillId="0" borderId="27" xfId="1" applyNumberFormat="1" applyFont="1" applyBorder="1" applyAlignment="1" applyProtection="1">
      <alignment vertical="center"/>
    </xf>
    <xf numFmtId="182" fontId="5" fillId="0" borderId="2" xfId="0" applyNumberFormat="1" applyFont="1" applyBorder="1" applyAlignment="1">
      <alignment horizontal="right" vertical="center"/>
    </xf>
    <xf numFmtId="0" fontId="3" fillId="2" borderId="17" xfId="0" applyFont="1" applyFill="1" applyBorder="1" applyAlignment="1">
      <alignment horizontal="left" vertical="center"/>
    </xf>
    <xf numFmtId="0" fontId="3" fillId="2" borderId="56" xfId="0" applyFont="1" applyFill="1" applyBorder="1" applyAlignment="1">
      <alignment horizontal="center" vertical="center"/>
    </xf>
    <xf numFmtId="182" fontId="20" fillId="2" borderId="62" xfId="1" applyNumberFormat="1" applyFont="1" applyFill="1" applyBorder="1" applyAlignment="1" applyProtection="1">
      <alignment vertical="center"/>
    </xf>
    <xf numFmtId="182" fontId="20" fillId="2" borderId="63" xfId="1" applyNumberFormat="1" applyFont="1" applyFill="1" applyBorder="1" applyAlignment="1" applyProtection="1">
      <alignment vertical="center"/>
    </xf>
    <xf numFmtId="182" fontId="20" fillId="2" borderId="56" xfId="1" applyNumberFormat="1" applyFont="1" applyFill="1" applyBorder="1" applyAlignment="1" applyProtection="1">
      <alignment vertical="center"/>
    </xf>
    <xf numFmtId="182" fontId="3" fillId="2" borderId="56" xfId="1" applyNumberFormat="1" applyFont="1" applyFill="1" applyBorder="1" applyAlignment="1" applyProtection="1">
      <alignment horizontal="right" vertical="center"/>
    </xf>
    <xf numFmtId="182" fontId="3" fillId="16" borderId="62" xfId="1" applyNumberFormat="1" applyFont="1" applyFill="1" applyBorder="1" applyAlignment="1" applyProtection="1">
      <alignment horizontal="right" vertical="center"/>
    </xf>
    <xf numFmtId="182" fontId="3" fillId="16" borderId="56" xfId="1" applyNumberFormat="1" applyFont="1" applyFill="1" applyBorder="1" applyAlignment="1" applyProtection="1">
      <alignment horizontal="right" vertical="center"/>
    </xf>
    <xf numFmtId="182" fontId="3" fillId="16" borderId="85" xfId="1" applyNumberFormat="1" applyFont="1" applyFill="1" applyBorder="1" applyAlignment="1" applyProtection="1">
      <alignment horizontal="right" vertical="center"/>
    </xf>
    <xf numFmtId="177" fontId="3" fillId="2" borderId="56" xfId="0" applyNumberFormat="1" applyFont="1" applyFill="1" applyBorder="1" applyAlignment="1">
      <alignment horizontal="center" vertical="center"/>
    </xf>
    <xf numFmtId="0" fontId="3" fillId="2" borderId="56" xfId="0" applyFont="1" applyFill="1" applyBorder="1" applyAlignment="1">
      <alignment horizontal="left" vertical="center"/>
    </xf>
    <xf numFmtId="0" fontId="3" fillId="2" borderId="31" xfId="0" applyFont="1" applyFill="1" applyBorder="1" applyAlignment="1">
      <alignment horizontal="center" vertical="center"/>
    </xf>
    <xf numFmtId="182" fontId="3" fillId="6" borderId="31" xfId="0" applyNumberFormat="1" applyFont="1" applyFill="1" applyBorder="1" applyAlignment="1">
      <alignment horizontal="right" vertical="center"/>
    </xf>
    <xf numFmtId="182" fontId="3" fillId="6" borderId="74" xfId="0" applyNumberFormat="1" applyFont="1" applyFill="1" applyBorder="1" applyAlignment="1">
      <alignment horizontal="right" vertical="center"/>
    </xf>
    <xf numFmtId="182" fontId="3" fillId="2" borderId="74" xfId="0" applyNumberFormat="1" applyFont="1" applyFill="1" applyBorder="1" applyAlignment="1">
      <alignment horizontal="right" vertical="center"/>
    </xf>
    <xf numFmtId="177" fontId="3" fillId="2" borderId="31" xfId="0" applyNumberFormat="1" applyFont="1" applyFill="1" applyBorder="1" applyAlignment="1">
      <alignment vertical="center"/>
    </xf>
    <xf numFmtId="0" fontId="3" fillId="2" borderId="31" xfId="0" applyFont="1" applyFill="1" applyBorder="1" applyAlignment="1">
      <alignment horizontal="left" vertical="center"/>
    </xf>
    <xf numFmtId="177" fontId="3" fillId="18" borderId="75" xfId="0" applyNumberFormat="1" applyFont="1" applyFill="1" applyBorder="1" applyAlignment="1">
      <alignment vertical="center"/>
    </xf>
    <xf numFmtId="177" fontId="3" fillId="18" borderId="122" xfId="0" applyNumberFormat="1" applyFont="1" applyFill="1" applyBorder="1" applyAlignment="1">
      <alignment vertical="center"/>
    </xf>
    <xf numFmtId="177" fontId="3" fillId="18" borderId="100" xfId="0" applyNumberFormat="1" applyFont="1" applyFill="1" applyBorder="1" applyAlignment="1">
      <alignment vertical="center"/>
    </xf>
    <xf numFmtId="177" fontId="20" fillId="2" borderId="2" xfId="0" applyNumberFormat="1" applyFont="1" applyFill="1" applyBorder="1" applyAlignment="1">
      <alignment horizontal="left" vertical="center"/>
    </xf>
    <xf numFmtId="0" fontId="20" fillId="2" borderId="2" xfId="0" applyFont="1" applyFill="1" applyBorder="1" applyAlignment="1">
      <alignment vertical="center"/>
    </xf>
    <xf numFmtId="0" fontId="2" fillId="2" borderId="2" xfId="0" applyFont="1" applyFill="1" applyBorder="1" applyAlignment="1">
      <alignment horizontal="left" vertical="center"/>
    </xf>
    <xf numFmtId="182" fontId="0" fillId="0" borderId="17" xfId="0" applyNumberFormat="1" applyBorder="1" applyAlignment="1">
      <alignment horizontal="right" vertical="center"/>
    </xf>
    <xf numFmtId="182" fontId="0" fillId="0" borderId="17" xfId="1" applyNumberFormat="1" applyFont="1" applyBorder="1" applyAlignment="1" applyProtection="1">
      <alignment horizontal="right" vertical="center"/>
    </xf>
    <xf numFmtId="182" fontId="0" fillId="0" borderId="15" xfId="1" applyNumberFormat="1" applyFont="1" applyBorder="1" applyAlignment="1" applyProtection="1">
      <alignment horizontal="right" vertical="center"/>
    </xf>
    <xf numFmtId="182" fontId="0" fillId="2" borderId="15" xfId="1" applyNumberFormat="1" applyFont="1" applyFill="1" applyBorder="1" applyAlignment="1" applyProtection="1">
      <alignment horizontal="right" vertical="center"/>
    </xf>
    <xf numFmtId="0" fontId="2" fillId="2" borderId="2" xfId="0" applyFont="1" applyFill="1" applyBorder="1" applyAlignment="1">
      <alignment horizontal="center" vertical="center"/>
    </xf>
    <xf numFmtId="182" fontId="0" fillId="2" borderId="0" xfId="0" applyNumberFormat="1" applyFill="1" applyAlignment="1">
      <alignment vertical="center"/>
    </xf>
    <xf numFmtId="182" fontId="13" fillId="2" borderId="0" xfId="0" applyNumberFormat="1" applyFont="1" applyFill="1" applyAlignment="1">
      <alignment vertical="center"/>
    </xf>
    <xf numFmtId="182" fontId="13" fillId="2" borderId="6" xfId="0" applyNumberFormat="1" applyFont="1" applyFill="1" applyBorder="1" applyAlignment="1">
      <alignment vertical="center"/>
    </xf>
    <xf numFmtId="182" fontId="13" fillId="2" borderId="15" xfId="0" applyNumberFormat="1" applyFont="1" applyFill="1" applyBorder="1" applyAlignment="1">
      <alignment vertical="center"/>
    </xf>
    <xf numFmtId="182" fontId="13" fillId="2" borderId="18" xfId="0" applyNumberFormat="1" applyFont="1" applyFill="1" applyBorder="1" applyAlignment="1">
      <alignment vertical="center"/>
    </xf>
    <xf numFmtId="0" fontId="25" fillId="2" borderId="4" xfId="0" applyFont="1" applyFill="1" applyBorder="1" applyAlignment="1">
      <alignment horizontal="left" vertical="center"/>
    </xf>
    <xf numFmtId="177" fontId="13" fillId="2" borderId="18" xfId="0" applyNumberFormat="1" applyFont="1" applyFill="1" applyBorder="1" applyAlignment="1">
      <alignment vertical="center"/>
    </xf>
    <xf numFmtId="0" fontId="3" fillId="2" borderId="20" xfId="0" applyFont="1" applyFill="1" applyBorder="1" applyAlignment="1">
      <alignment horizontal="left" vertical="center"/>
    </xf>
    <xf numFmtId="0" fontId="3" fillId="2" borderId="130" xfId="0" applyFont="1" applyFill="1" applyBorder="1" applyAlignment="1">
      <alignment horizontal="center" vertical="center"/>
    </xf>
    <xf numFmtId="182" fontId="24" fillId="6" borderId="9" xfId="0" applyNumberFormat="1" applyFont="1" applyFill="1" applyBorder="1" applyAlignment="1">
      <alignment vertical="center"/>
    </xf>
    <xf numFmtId="182" fontId="24" fillId="6" borderId="10" xfId="0" applyNumberFormat="1" applyFont="1" applyFill="1" applyBorder="1" applyAlignment="1">
      <alignment vertical="center"/>
    </xf>
    <xf numFmtId="182" fontId="24" fillId="2" borderId="130" xfId="0" applyNumberFormat="1" applyFont="1" applyFill="1" applyBorder="1" applyAlignment="1">
      <alignment vertical="center"/>
    </xf>
    <xf numFmtId="182" fontId="3" fillId="2" borderId="130" xfId="1" applyNumberFormat="1" applyFont="1" applyFill="1" applyBorder="1" applyAlignment="1" applyProtection="1">
      <alignment vertical="center"/>
    </xf>
    <xf numFmtId="0" fontId="0" fillId="20" borderId="0" xfId="0" applyFill="1" applyAlignment="1">
      <alignment vertical="center"/>
    </xf>
    <xf numFmtId="0" fontId="27" fillId="10" borderId="130" xfId="0" applyFont="1" applyFill="1" applyBorder="1" applyAlignment="1">
      <alignment horizontal="center" vertical="center" wrapText="1"/>
    </xf>
    <xf numFmtId="0" fontId="3" fillId="2" borderId="130" xfId="0" applyFont="1" applyFill="1" applyBorder="1" applyAlignment="1">
      <alignment vertical="center"/>
    </xf>
    <xf numFmtId="0" fontId="4" fillId="2" borderId="100" xfId="0" applyFont="1" applyFill="1" applyBorder="1" applyAlignment="1">
      <alignment horizontal="center" vertical="center"/>
    </xf>
    <xf numFmtId="182" fontId="0" fillId="0" borderId="16" xfId="0" applyNumberFormat="1" applyBorder="1" applyAlignment="1">
      <alignment vertical="center"/>
    </xf>
    <xf numFmtId="182" fontId="13" fillId="0" borderId="16" xfId="0" applyNumberFormat="1" applyFont="1" applyBorder="1" applyAlignment="1">
      <alignment vertical="center"/>
    </xf>
    <xf numFmtId="182" fontId="0" fillId="2" borderId="0" xfId="1" applyNumberFormat="1" applyFont="1" applyFill="1" applyAlignment="1" applyProtection="1">
      <alignment vertical="center"/>
    </xf>
    <xf numFmtId="0" fontId="0" fillId="0" borderId="75" xfId="0" applyBorder="1" applyAlignment="1">
      <alignment vertical="center"/>
    </xf>
    <xf numFmtId="0" fontId="4" fillId="2" borderId="122" xfId="0" applyFont="1" applyFill="1" applyBorder="1" applyAlignment="1">
      <alignment vertical="center"/>
    </xf>
    <xf numFmtId="167" fontId="4" fillId="2" borderId="100" xfId="3" applyFont="1" applyFill="1" applyBorder="1" applyAlignment="1" applyProtection="1">
      <alignment vertical="center"/>
    </xf>
    <xf numFmtId="0" fontId="4" fillId="2" borderId="75" xfId="0" applyFont="1" applyFill="1" applyBorder="1" applyAlignment="1">
      <alignment vertical="center"/>
    </xf>
    <xf numFmtId="0" fontId="4" fillId="2" borderId="100" xfId="0" applyFont="1" applyFill="1" applyBorder="1" applyAlignment="1">
      <alignment vertical="center"/>
    </xf>
    <xf numFmtId="0" fontId="0" fillId="0" borderId="13" xfId="0" applyBorder="1" applyAlignment="1">
      <alignment vertical="center"/>
    </xf>
    <xf numFmtId="0" fontId="4" fillId="2" borderId="13" xfId="0" applyFont="1" applyFill="1" applyBorder="1" applyAlignment="1">
      <alignment vertical="center"/>
    </xf>
    <xf numFmtId="167" fontId="4" fillId="2" borderId="13" xfId="3" applyFont="1" applyFill="1" applyBorder="1" applyAlignment="1" applyProtection="1">
      <alignment vertical="center"/>
    </xf>
    <xf numFmtId="0" fontId="3" fillId="2" borderId="13" xfId="0" applyFont="1" applyFill="1" applyBorder="1" applyAlignment="1">
      <alignment horizontal="center" vertical="center"/>
    </xf>
    <xf numFmtId="182" fontId="9" fillId="0" borderId="0" xfId="0" applyNumberFormat="1" applyFont="1" applyAlignment="1">
      <alignment vertical="center"/>
    </xf>
    <xf numFmtId="177" fontId="0" fillId="2" borderId="17" xfId="0" applyNumberFormat="1" applyFill="1" applyBorder="1" applyAlignment="1">
      <alignment vertical="center"/>
    </xf>
    <xf numFmtId="0" fontId="22" fillId="2" borderId="2" xfId="0" applyFont="1" applyFill="1" applyBorder="1" applyAlignment="1">
      <alignment horizontal="center" vertical="center"/>
    </xf>
    <xf numFmtId="182" fontId="3" fillId="2" borderId="75" xfId="1" applyNumberFormat="1" applyFont="1" applyFill="1" applyBorder="1" applyAlignment="1" applyProtection="1">
      <alignment horizontal="right" vertical="center"/>
    </xf>
    <xf numFmtId="0" fontId="22" fillId="2" borderId="64" xfId="0" applyFont="1" applyFill="1" applyBorder="1" applyAlignment="1">
      <alignment vertical="center"/>
    </xf>
    <xf numFmtId="182" fontId="3" fillId="2" borderId="64" xfId="1" applyNumberFormat="1" applyFont="1" applyFill="1" applyBorder="1" applyAlignment="1" applyProtection="1">
      <alignment horizontal="right" vertical="center"/>
    </xf>
    <xf numFmtId="0" fontId="8" fillId="2" borderId="2" xfId="0" applyFont="1" applyFill="1" applyBorder="1" applyAlignment="1">
      <alignment horizontal="left" vertical="center"/>
    </xf>
    <xf numFmtId="182" fontId="3" fillId="2" borderId="10" xfId="1" applyNumberFormat="1" applyFont="1" applyFill="1" applyBorder="1" applyAlignment="1" applyProtection="1">
      <alignment horizontal="right" vertical="center"/>
    </xf>
    <xf numFmtId="0" fontId="0" fillId="20" borderId="19" xfId="0" applyFill="1" applyBorder="1" applyAlignment="1">
      <alignment vertical="center"/>
    </xf>
    <xf numFmtId="182" fontId="0" fillId="2" borderId="6" xfId="1" applyNumberFormat="1" applyFont="1" applyFill="1" applyBorder="1" applyAlignment="1" applyProtection="1">
      <alignment vertical="center"/>
    </xf>
    <xf numFmtId="167" fontId="7" fillId="2" borderId="0" xfId="3" applyFont="1" applyFill="1" applyAlignment="1" applyProtection="1">
      <alignment vertical="center"/>
    </xf>
    <xf numFmtId="0" fontId="3" fillId="2" borderId="0" xfId="0" applyFont="1" applyFill="1" applyAlignment="1">
      <alignment horizontal="left" vertical="center"/>
    </xf>
    <xf numFmtId="0" fontId="66" fillId="2" borderId="0" xfId="0" applyFont="1" applyFill="1" applyAlignment="1">
      <alignment vertical="center"/>
    </xf>
    <xf numFmtId="0" fontId="7" fillId="2" borderId="6" xfId="4" applyFont="1" applyFill="1" applyBorder="1" applyAlignment="1">
      <alignment horizontal="center" vertical="center"/>
    </xf>
    <xf numFmtId="0" fontId="39" fillId="2" borderId="0" xfId="4" applyFont="1" applyFill="1" applyBorder="1" applyAlignment="1">
      <alignment vertical="center"/>
    </xf>
    <xf numFmtId="0" fontId="7" fillId="2" borderId="0" xfId="0" applyFont="1" applyFill="1"/>
    <xf numFmtId="0" fontId="2" fillId="2" borderId="0" xfId="0" applyFont="1" applyFill="1" applyAlignment="1">
      <alignment horizontal="center"/>
    </xf>
    <xf numFmtId="0" fontId="0" fillId="2" borderId="0" xfId="0" applyFill="1" applyAlignment="1">
      <alignment horizontal="right"/>
    </xf>
    <xf numFmtId="0" fontId="38" fillId="2" borderId="6" xfId="4" applyFont="1" applyFill="1" applyBorder="1" applyAlignment="1">
      <alignment vertical="center"/>
    </xf>
    <xf numFmtId="171" fontId="0" fillId="2" borderId="0" xfId="0" applyNumberFormat="1" applyFill="1"/>
    <xf numFmtId="14" fontId="0" fillId="2" borderId="88" xfId="0" applyNumberFormat="1" applyFill="1" applyBorder="1"/>
    <xf numFmtId="0" fontId="0" fillId="2" borderId="88" xfId="0" applyFill="1" applyBorder="1"/>
    <xf numFmtId="14" fontId="0" fillId="5" borderId="88" xfId="0" applyNumberFormat="1" applyFill="1" applyBorder="1"/>
    <xf numFmtId="0" fontId="0" fillId="5" borderId="88" xfId="0" applyFill="1" applyBorder="1"/>
    <xf numFmtId="14" fontId="0" fillId="5" borderId="159" xfId="0" applyNumberFormat="1" applyFill="1" applyBorder="1"/>
    <xf numFmtId="0" fontId="0" fillId="5" borderId="159" xfId="0" applyFill="1" applyBorder="1"/>
    <xf numFmtId="166" fontId="0" fillId="5" borderId="159" xfId="1" applyFont="1" applyFill="1" applyBorder="1"/>
    <xf numFmtId="14" fontId="0" fillId="2" borderId="159" xfId="0" applyNumberFormat="1" applyFill="1" applyBorder="1"/>
    <xf numFmtId="0" fontId="0" fillId="2" borderId="159" xfId="0" applyFill="1" applyBorder="1"/>
    <xf numFmtId="166" fontId="0" fillId="2" borderId="159" xfId="1" applyFont="1" applyFill="1" applyBorder="1"/>
    <xf numFmtId="0" fontId="0" fillId="2" borderId="156" xfId="0" applyFill="1" applyBorder="1" applyAlignment="1">
      <alignment vertical="center"/>
    </xf>
    <xf numFmtId="166" fontId="3" fillId="2" borderId="156" xfId="1" applyFont="1" applyFill="1" applyBorder="1" applyAlignment="1">
      <alignment vertical="center"/>
    </xf>
    <xf numFmtId="166" fontId="0" fillId="2" borderId="0" xfId="1" applyFont="1" applyFill="1" applyAlignment="1">
      <alignment vertical="center"/>
    </xf>
    <xf numFmtId="0" fontId="0" fillId="2" borderId="0" xfId="0" applyFill="1" applyAlignment="1">
      <alignment horizontal="right" vertical="center"/>
    </xf>
    <xf numFmtId="0" fontId="2" fillId="2" borderId="0" xfId="0" applyFont="1" applyFill="1" applyAlignment="1">
      <alignment vertical="center"/>
    </xf>
    <xf numFmtId="0" fontId="39" fillId="2" borderId="0" xfId="4" applyFont="1" applyFill="1" applyAlignment="1">
      <alignment vertical="center"/>
    </xf>
    <xf numFmtId="0" fontId="4" fillId="2" borderId="6" xfId="0" applyFont="1" applyFill="1" applyBorder="1" applyAlignment="1">
      <alignment vertical="center"/>
    </xf>
    <xf numFmtId="0" fontId="4" fillId="2" borderId="0" xfId="0" applyFont="1" applyFill="1" applyAlignment="1">
      <alignment horizontal="center" vertical="center"/>
    </xf>
    <xf numFmtId="171" fontId="4" fillId="2" borderId="0" xfId="1" applyNumberFormat="1" applyFont="1" applyFill="1" applyAlignment="1">
      <alignment vertical="center"/>
    </xf>
    <xf numFmtId="171" fontId="4" fillId="2" borderId="0" xfId="1" applyNumberFormat="1" applyFont="1" applyFill="1" applyAlignment="1">
      <alignment horizontal="center" vertical="center"/>
    </xf>
    <xf numFmtId="0" fontId="3" fillId="2" borderId="4" xfId="1" applyNumberFormat="1" applyFont="1" applyFill="1" applyBorder="1" applyAlignment="1">
      <alignment horizontal="center" vertical="center" wrapText="1"/>
    </xf>
    <xf numFmtId="0" fontId="3" fillId="2" borderId="5" xfId="1" applyNumberFormat="1" applyFont="1" applyFill="1" applyBorder="1" applyAlignment="1">
      <alignment horizontal="center" vertical="center" wrapText="1"/>
    </xf>
    <xf numFmtId="0" fontId="3" fillId="2" borderId="3" xfId="1" applyNumberFormat="1" applyFont="1" applyFill="1" applyBorder="1" applyAlignment="1">
      <alignment horizontal="center" vertical="center" wrapText="1"/>
    </xf>
    <xf numFmtId="0" fontId="3" fillId="2" borderId="4" xfId="1" applyNumberFormat="1" applyFont="1" applyFill="1" applyBorder="1" applyAlignment="1">
      <alignment horizontal="right" vertical="center" wrapText="1"/>
    </xf>
    <xf numFmtId="0" fontId="3" fillId="2" borderId="15" xfId="1" applyNumberFormat="1" applyFont="1" applyFill="1" applyBorder="1" applyAlignment="1">
      <alignment horizontal="center" vertical="center" wrapText="1"/>
    </xf>
    <xf numFmtId="171" fontId="3" fillId="2" borderId="15" xfId="1" applyNumberFormat="1" applyFont="1" applyFill="1" applyBorder="1" applyAlignment="1">
      <alignment horizontal="center" vertical="center" wrapText="1"/>
    </xf>
    <xf numFmtId="176" fontId="16" fillId="2" borderId="48" xfId="1" applyNumberFormat="1" applyFont="1" applyFill="1" applyBorder="1" applyAlignment="1">
      <alignment horizontal="right" vertical="center"/>
    </xf>
    <xf numFmtId="166" fontId="16" fillId="2" borderId="8" xfId="1" applyFont="1" applyFill="1" applyBorder="1" applyAlignment="1">
      <alignment horizontal="center" vertical="center"/>
    </xf>
    <xf numFmtId="171" fontId="7" fillId="2" borderId="3" xfId="1" applyNumberFormat="1" applyFont="1" applyFill="1" applyBorder="1" applyAlignment="1">
      <alignment horizontal="right" vertical="center"/>
    </xf>
    <xf numFmtId="176" fontId="16" fillId="2" borderId="3" xfId="1" applyNumberFormat="1" applyFont="1" applyFill="1" applyBorder="1" applyAlignment="1">
      <alignment horizontal="right" vertical="center"/>
    </xf>
    <xf numFmtId="171" fontId="7" fillId="2" borderId="4" xfId="1" applyNumberFormat="1" applyFont="1" applyFill="1" applyBorder="1" applyAlignment="1">
      <alignment horizontal="right" vertical="center"/>
    </xf>
    <xf numFmtId="176" fontId="0" fillId="2" borderId="13" xfId="0" applyNumberFormat="1" applyFill="1" applyBorder="1" applyAlignment="1">
      <alignment horizontal="right" vertical="center"/>
    </xf>
    <xf numFmtId="0" fontId="7" fillId="2" borderId="13" xfId="0" applyFont="1" applyFill="1" applyBorder="1" applyAlignment="1">
      <alignment vertical="center"/>
    </xf>
    <xf numFmtId="165" fontId="0" fillId="2" borderId="13" xfId="0" applyNumberFormat="1" applyFill="1" applyBorder="1" applyAlignment="1">
      <alignment vertical="center"/>
    </xf>
    <xf numFmtId="176" fontId="0" fillId="2" borderId="84" xfId="1" applyNumberFormat="1" applyFont="1" applyFill="1" applyBorder="1" applyAlignment="1">
      <alignment horizontal="right" vertical="center"/>
    </xf>
    <xf numFmtId="166" fontId="0" fillId="2" borderId="21" xfId="1" applyFont="1" applyFill="1" applyBorder="1" applyAlignment="1">
      <alignment horizontal="center" vertical="center"/>
    </xf>
    <xf numFmtId="166" fontId="0" fillId="2" borderId="20" xfId="1" applyFont="1" applyFill="1" applyBorder="1" applyAlignment="1">
      <alignment horizontal="center" vertical="center"/>
    </xf>
    <xf numFmtId="0" fontId="3" fillId="2" borderId="48" xfId="1" applyNumberFormat="1" applyFont="1" applyFill="1" applyBorder="1" applyAlignment="1">
      <alignment horizontal="center" vertical="center"/>
    </xf>
    <xf numFmtId="171" fontId="0" fillId="2" borderId="3" xfId="1" applyNumberFormat="1" applyFont="1" applyFill="1" applyBorder="1" applyAlignment="1">
      <alignment horizontal="right" vertical="center"/>
    </xf>
    <xf numFmtId="171" fontId="7" fillId="2" borderId="17" xfId="1" applyNumberFormat="1" applyFont="1" applyFill="1" applyBorder="1" applyAlignment="1">
      <alignment horizontal="right" vertical="center"/>
    </xf>
    <xf numFmtId="171" fontId="7" fillId="2" borderId="15" xfId="1" applyNumberFormat="1" applyFont="1" applyFill="1" applyBorder="1" applyAlignment="1">
      <alignment horizontal="right" vertical="center"/>
    </xf>
    <xf numFmtId="171" fontId="7" fillId="2" borderId="98" xfId="1" applyNumberFormat="1" applyFont="1" applyFill="1" applyBorder="1" applyAlignment="1">
      <alignment horizontal="right" vertical="center"/>
    </xf>
    <xf numFmtId="171" fontId="7" fillId="2" borderId="101" xfId="1" applyNumberFormat="1" applyFont="1" applyFill="1" applyBorder="1" applyAlignment="1">
      <alignment horizontal="right" vertical="center"/>
    </xf>
    <xf numFmtId="171" fontId="3" fillId="2" borderId="122" xfId="1" applyNumberFormat="1" applyFont="1" applyFill="1" applyBorder="1" applyAlignment="1">
      <alignment horizontal="right" vertical="center"/>
    </xf>
    <xf numFmtId="166" fontId="0" fillId="2" borderId="5" xfId="1" applyFont="1" applyFill="1" applyBorder="1" applyAlignment="1">
      <alignment horizontal="center" vertical="center"/>
    </xf>
    <xf numFmtId="171" fontId="0" fillId="2" borderId="4" xfId="1" applyNumberFormat="1" applyFont="1" applyFill="1" applyBorder="1" applyAlignment="1">
      <alignment horizontal="right" vertical="center"/>
    </xf>
    <xf numFmtId="176" fontId="0" fillId="2" borderId="51" xfId="1" applyNumberFormat="1" applyFont="1" applyFill="1" applyBorder="1" applyAlignment="1">
      <alignment horizontal="right" vertical="center"/>
    </xf>
    <xf numFmtId="171" fontId="0" fillId="2" borderId="101" xfId="1" applyNumberFormat="1" applyFont="1" applyFill="1" applyBorder="1" applyAlignment="1">
      <alignment vertical="center"/>
    </xf>
    <xf numFmtId="171" fontId="0" fillId="2" borderId="101" xfId="1" applyNumberFormat="1" applyFont="1" applyFill="1" applyBorder="1" applyAlignment="1">
      <alignment horizontal="right" vertical="center"/>
    </xf>
    <xf numFmtId="171" fontId="3" fillId="2" borderId="14" xfId="1" applyNumberFormat="1" applyFont="1" applyFill="1" applyBorder="1" applyAlignment="1">
      <alignment vertical="center"/>
    </xf>
    <xf numFmtId="171" fontId="3" fillId="2" borderId="1" xfId="1" applyNumberFormat="1" applyFont="1" applyFill="1" applyBorder="1" applyAlignment="1">
      <alignment horizontal="right" vertical="center"/>
    </xf>
    <xf numFmtId="0" fontId="0" fillId="5" borderId="3" xfId="0" applyFill="1" applyBorder="1"/>
    <xf numFmtId="171" fontId="3" fillId="2" borderId="3" xfId="1" applyNumberFormat="1" applyFont="1" applyFill="1" applyBorder="1" applyAlignment="1">
      <alignment vertical="center"/>
    </xf>
    <xf numFmtId="171" fontId="3" fillId="2" borderId="4" xfId="1" applyNumberFormat="1" applyFont="1" applyFill="1" applyBorder="1" applyAlignment="1">
      <alignment horizontal="right" vertical="center"/>
    </xf>
    <xf numFmtId="166" fontId="0" fillId="2" borderId="27" xfId="1" applyFont="1" applyFill="1" applyBorder="1" applyAlignment="1">
      <alignment horizontal="center" vertical="center"/>
    </xf>
    <xf numFmtId="0" fontId="0" fillId="2" borderId="27" xfId="0" applyFill="1" applyBorder="1" applyAlignment="1">
      <alignment horizontal="center" vertical="center"/>
    </xf>
    <xf numFmtId="165" fontId="0" fillId="2" borderId="0" xfId="0" applyNumberFormat="1" applyFill="1"/>
    <xf numFmtId="166" fontId="0" fillId="2" borderId="0" xfId="1" applyFont="1" applyFill="1" applyAlignment="1">
      <alignment horizontal="center" vertical="center"/>
    </xf>
    <xf numFmtId="0" fontId="2" fillId="2" borderId="0" xfId="0" applyFont="1" applyFill="1" applyAlignment="1">
      <alignment horizontal="center" vertical="center"/>
    </xf>
    <xf numFmtId="14" fontId="0" fillId="2" borderId="0" xfId="0" applyNumberFormat="1" applyFill="1" applyAlignment="1">
      <alignment horizontal="center" vertical="center" wrapText="1"/>
    </xf>
    <xf numFmtId="14" fontId="0" fillId="2" borderId="0" xfId="0" applyNumberFormat="1" applyFill="1" applyAlignment="1">
      <alignment horizontal="center" vertical="center"/>
    </xf>
    <xf numFmtId="176" fontId="0" fillId="2" borderId="0" xfId="0" applyNumberFormat="1" applyFill="1" applyAlignment="1">
      <alignment horizontal="right" vertical="center"/>
    </xf>
    <xf numFmtId="176" fontId="0" fillId="2" borderId="0" xfId="1" applyNumberFormat="1" applyFont="1" applyFill="1" applyAlignment="1">
      <alignment horizontal="right" vertical="center"/>
    </xf>
    <xf numFmtId="176" fontId="16" fillId="2" borderId="0" xfId="1" applyNumberFormat="1" applyFont="1" applyFill="1" applyAlignment="1">
      <alignment horizontal="right" vertical="center"/>
    </xf>
    <xf numFmtId="166" fontId="0" fillId="2" borderId="0" xfId="1" applyFont="1" applyFill="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76" fontId="16" fillId="2" borderId="0" xfId="1" applyNumberFormat="1" applyFont="1" applyFill="1" applyAlignment="1">
      <alignment horizontal="center" vertical="center"/>
    </xf>
    <xf numFmtId="176" fontId="0" fillId="2" borderId="0" xfId="1" applyNumberFormat="1" applyFont="1" applyFill="1" applyAlignment="1">
      <alignment horizontal="center" vertical="center"/>
    </xf>
    <xf numFmtId="166" fontId="16" fillId="2" borderId="0" xfId="1" applyFont="1" applyFill="1" applyAlignment="1">
      <alignment horizontal="center" vertical="center"/>
    </xf>
    <xf numFmtId="0" fontId="5" fillId="2" borderId="0" xfId="0" applyFont="1" applyFill="1" applyAlignment="1">
      <alignment vertical="center"/>
    </xf>
    <xf numFmtId="166" fontId="7" fillId="2" borderId="0" xfId="1" applyFont="1" applyFill="1" applyAlignment="1">
      <alignment horizontal="center" vertical="center"/>
    </xf>
    <xf numFmtId="171" fontId="2" fillId="2" borderId="0" xfId="1" applyNumberFormat="1" applyFont="1" applyFill="1" applyAlignment="1">
      <alignment vertical="center"/>
    </xf>
    <xf numFmtId="171" fontId="2" fillId="2" borderId="0" xfId="1" applyNumberFormat="1" applyFont="1" applyFill="1" applyAlignment="1">
      <alignment horizontal="right" vertical="center"/>
    </xf>
    <xf numFmtId="0" fontId="2" fillId="2" borderId="0" xfId="0" applyFont="1" applyFill="1" applyAlignment="1">
      <alignment vertical="center" wrapText="1"/>
    </xf>
    <xf numFmtId="166" fontId="2" fillId="2" borderId="0" xfId="1" applyFont="1" applyFill="1" applyAlignment="1">
      <alignment vertical="center"/>
    </xf>
    <xf numFmtId="166" fontId="2" fillId="2" borderId="0" xfId="1" applyFont="1" applyFill="1" applyAlignment="1">
      <alignment horizontal="center" vertical="center"/>
    </xf>
    <xf numFmtId="0" fontId="2" fillId="2" borderId="0" xfId="1" applyNumberFormat="1" applyFont="1" applyFill="1" applyAlignment="1">
      <alignment horizontal="center" vertical="center"/>
    </xf>
    <xf numFmtId="171" fontId="2" fillId="2" borderId="0" xfId="1" applyNumberFormat="1" applyFont="1" applyFill="1" applyAlignment="1">
      <alignment horizontal="center" vertical="center"/>
    </xf>
    <xf numFmtId="166" fontId="2" fillId="2" borderId="0" xfId="1" applyFont="1" applyFill="1" applyAlignment="1">
      <alignment horizontal="right" vertical="center"/>
    </xf>
    <xf numFmtId="0" fontId="7" fillId="2" borderId="0" xfId="1" applyNumberFormat="1" applyFont="1" applyFill="1" applyAlignment="1">
      <alignment horizontal="center" vertical="center"/>
    </xf>
    <xf numFmtId="171" fontId="7" fillId="2" borderId="0" xfId="1" applyNumberFormat="1" applyFont="1" applyFill="1" applyAlignment="1">
      <alignment horizontal="center" vertical="center"/>
    </xf>
    <xf numFmtId="0" fontId="7" fillId="2" borderId="0" xfId="1" applyNumberFormat="1" applyFont="1" applyFill="1" applyAlignment="1">
      <alignment horizontal="right" vertical="center"/>
    </xf>
    <xf numFmtId="166" fontId="7" fillId="2" borderId="0" xfId="1" applyFont="1" applyFill="1" applyAlignment="1">
      <alignment horizontal="right" vertical="center"/>
    </xf>
    <xf numFmtId="0" fontId="39" fillId="2" borderId="6" xfId="4" applyFont="1" applyFill="1" applyBorder="1" applyAlignment="1">
      <alignmen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36" fillId="2" borderId="0" xfId="0" applyFont="1" applyFill="1" applyAlignment="1">
      <alignment vertical="center"/>
    </xf>
    <xf numFmtId="0" fontId="69" fillId="2" borderId="0" xfId="0" applyFont="1" applyFill="1" applyAlignment="1">
      <alignment vertical="center"/>
    </xf>
    <xf numFmtId="0" fontId="8" fillId="11" borderId="88" xfId="0" applyFont="1" applyFill="1" applyBorder="1"/>
    <xf numFmtId="14" fontId="7" fillId="5" borderId="88" xfId="0" applyNumberFormat="1" applyFont="1" applyFill="1" applyBorder="1"/>
    <xf numFmtId="166" fontId="16" fillId="5" borderId="88" xfId="1" applyFont="1" applyFill="1" applyBorder="1"/>
    <xf numFmtId="14" fontId="7" fillId="2" borderId="88" xfId="0" applyNumberFormat="1" applyFont="1" applyFill="1" applyBorder="1"/>
    <xf numFmtId="0" fontId="7" fillId="2" borderId="88" xfId="0" applyFont="1" applyFill="1" applyBorder="1"/>
    <xf numFmtId="166" fontId="16" fillId="2" borderId="88" xfId="1" applyFont="1" applyFill="1" applyBorder="1"/>
    <xf numFmtId="166" fontId="16" fillId="5" borderId="155" xfId="1" applyFont="1" applyFill="1" applyBorder="1"/>
    <xf numFmtId="166" fontId="16" fillId="2" borderId="11" xfId="1" applyFont="1" applyFill="1" applyBorder="1" applyAlignment="1">
      <alignment vertical="center"/>
    </xf>
    <xf numFmtId="179" fontId="0" fillId="2" borderId="0" xfId="0" applyNumberFormat="1" applyFill="1" applyAlignment="1">
      <alignment vertical="center"/>
    </xf>
    <xf numFmtId="164" fontId="0" fillId="2" borderId="0" xfId="0" applyNumberFormat="1" applyFill="1"/>
    <xf numFmtId="166" fontId="0" fillId="2" borderId="88" xfId="1" applyFont="1" applyFill="1" applyBorder="1"/>
    <xf numFmtId="166" fontId="0" fillId="5" borderId="88" xfId="1" applyFont="1" applyFill="1" applyBorder="1"/>
    <xf numFmtId="166" fontId="0" fillId="2" borderId="155" xfId="1" applyFont="1" applyFill="1" applyBorder="1"/>
    <xf numFmtId="166" fontId="0" fillId="2" borderId="11" xfId="1" applyFont="1" applyFill="1" applyBorder="1"/>
    <xf numFmtId="166" fontId="0" fillId="2" borderId="0" xfId="1" applyFont="1" applyFill="1"/>
    <xf numFmtId="0" fontId="38" fillId="2" borderId="6" xfId="4" applyFont="1" applyFill="1" applyBorder="1" applyAlignment="1">
      <alignment horizontal="center" vertical="center"/>
    </xf>
    <xf numFmtId="0" fontId="7" fillId="2" borderId="0" xfId="0" applyFont="1" applyFill="1" applyAlignment="1">
      <alignment vertical="center" wrapText="1"/>
    </xf>
    <xf numFmtId="0" fontId="8" fillId="11" borderId="2" xfId="0" applyFont="1" applyFill="1" applyBorder="1"/>
    <xf numFmtId="166" fontId="16" fillId="5" borderId="2" xfId="1" applyFont="1" applyFill="1" applyBorder="1"/>
    <xf numFmtId="166" fontId="16" fillId="2" borderId="2" xfId="1" applyFont="1" applyFill="1" applyBorder="1"/>
    <xf numFmtId="0" fontId="0" fillId="2" borderId="9" xfId="0" applyFill="1" applyBorder="1"/>
    <xf numFmtId="166" fontId="0" fillId="2" borderId="9" xfId="1" applyFont="1" applyFill="1" applyBorder="1"/>
    <xf numFmtId="166" fontId="4" fillId="2" borderId="9" xfId="1" applyFont="1" applyFill="1" applyBorder="1" applyAlignment="1">
      <alignment vertical="center" wrapText="1"/>
    </xf>
    <xf numFmtId="0" fontId="0" fillId="5" borderId="0" xfId="0" applyFill="1"/>
    <xf numFmtId="166" fontId="0" fillId="5" borderId="0" xfId="1" applyFont="1" applyFill="1" applyBorder="1"/>
    <xf numFmtId="166" fontId="0" fillId="2" borderId="0" xfId="1" applyFont="1" applyFill="1" applyAlignment="1">
      <alignment vertical="center" wrapText="1"/>
    </xf>
    <xf numFmtId="0" fontId="7" fillId="2" borderId="0" xfId="0" applyFont="1" applyFill="1" applyAlignment="1">
      <alignment horizontal="left" vertical="center"/>
    </xf>
    <xf numFmtId="0" fontId="0" fillId="2" borderId="0" xfId="0" applyFill="1" applyAlignment="1">
      <alignment horizontal="left" vertical="center"/>
    </xf>
    <xf numFmtId="166" fontId="0" fillId="2" borderId="0" xfId="1" applyFont="1" applyFill="1" applyBorder="1" applyAlignment="1">
      <alignment horizontal="center" vertical="center"/>
    </xf>
    <xf numFmtId="166" fontId="7" fillId="2" borderId="88" xfId="1" applyFont="1" applyFill="1" applyBorder="1"/>
    <xf numFmtId="166" fontId="7" fillId="5" borderId="88" xfId="1" applyFont="1" applyFill="1" applyBorder="1"/>
    <xf numFmtId="166" fontId="16" fillId="2" borderId="155" xfId="1" applyFont="1" applyFill="1" applyBorder="1"/>
    <xf numFmtId="166" fontId="16" fillId="2" borderId="157" xfId="1" applyFont="1" applyFill="1" applyBorder="1" applyAlignment="1">
      <alignment horizontal="center" vertical="center"/>
    </xf>
    <xf numFmtId="0" fontId="0" fillId="2" borderId="0" xfId="0" applyFill="1" applyAlignment="1">
      <alignment horizontal="left" vertical="center" wrapText="1"/>
    </xf>
    <xf numFmtId="166" fontId="16" fillId="2" borderId="0" xfId="1" applyFont="1" applyFill="1"/>
    <xf numFmtId="14" fontId="7" fillId="5" borderId="2" xfId="0" applyNumberFormat="1" applyFont="1" applyFill="1" applyBorder="1"/>
    <xf numFmtId="14" fontId="7" fillId="2" borderId="2" xfId="0" applyNumberFormat="1" applyFont="1" applyFill="1" applyBorder="1"/>
    <xf numFmtId="166" fontId="16" fillId="2" borderId="9" xfId="1" applyFont="1" applyFill="1" applyBorder="1"/>
    <xf numFmtId="0" fontId="59" fillId="2" borderId="0" xfId="0" applyFont="1" applyFill="1"/>
    <xf numFmtId="166" fontId="7" fillId="2" borderId="0" xfId="1" applyFont="1" applyFill="1" applyAlignment="1">
      <alignment vertical="center"/>
    </xf>
    <xf numFmtId="14" fontId="7" fillId="2" borderId="5" xfId="0" applyNumberFormat="1" applyFont="1" applyFill="1" applyBorder="1"/>
    <xf numFmtId="14" fontId="7" fillId="5" borderId="5" xfId="0" applyNumberFormat="1" applyFont="1" applyFill="1" applyBorder="1"/>
    <xf numFmtId="166" fontId="7" fillId="5" borderId="2" xfId="1" applyFont="1" applyFill="1" applyBorder="1"/>
    <xf numFmtId="166" fontId="7" fillId="2" borderId="2" xfId="1" applyFont="1" applyFill="1" applyBorder="1"/>
    <xf numFmtId="0" fontId="0" fillId="2" borderId="12" xfId="0" applyFill="1" applyBorder="1"/>
    <xf numFmtId="166" fontId="0" fillId="2" borderId="9" xfId="1" applyFont="1" applyFill="1" applyBorder="1" applyAlignment="1">
      <alignment vertical="center"/>
    </xf>
    <xf numFmtId="0" fontId="6" fillId="2" borderId="0" xfId="0" applyFont="1" applyFill="1" applyAlignment="1">
      <alignment vertical="center"/>
    </xf>
    <xf numFmtId="166" fontId="6" fillId="2" borderId="0" xfId="1" applyFont="1" applyFill="1" applyAlignment="1">
      <alignment vertical="center"/>
    </xf>
    <xf numFmtId="179" fontId="7" fillId="2" borderId="88" xfId="1" applyNumberFormat="1" applyFont="1" applyFill="1" applyBorder="1"/>
    <xf numFmtId="179" fontId="7" fillId="5" borderId="88" xfId="1" applyNumberFormat="1" applyFont="1" applyFill="1" applyBorder="1"/>
    <xf numFmtId="179" fontId="7" fillId="5" borderId="155" xfId="1" applyNumberFormat="1" applyFont="1" applyFill="1" applyBorder="1"/>
    <xf numFmtId="179" fontId="3" fillId="2" borderId="11" xfId="0" applyNumberFormat="1" applyFont="1" applyFill="1" applyBorder="1"/>
    <xf numFmtId="179" fontId="0" fillId="2" borderId="0" xfId="0" applyNumberFormat="1" applyFill="1"/>
    <xf numFmtId="179" fontId="7" fillId="2" borderId="2" xfId="1" applyNumberFormat="1" applyFont="1" applyFill="1" applyBorder="1"/>
    <xf numFmtId="179" fontId="7" fillId="2" borderId="9" xfId="1" applyNumberFormat="1" applyFont="1" applyFill="1" applyBorder="1"/>
    <xf numFmtId="179" fontId="7" fillId="2" borderId="154" xfId="1" applyNumberFormat="1" applyFont="1" applyFill="1" applyBorder="1"/>
    <xf numFmtId="0" fontId="23" fillId="2" borderId="0" xfId="0" applyFont="1" applyFill="1" applyAlignment="1">
      <alignment horizontal="center" vertical="center"/>
    </xf>
    <xf numFmtId="0" fontId="23" fillId="2" borderId="9" xfId="0" applyFont="1" applyFill="1" applyBorder="1" applyAlignment="1">
      <alignment vertical="center"/>
    </xf>
    <xf numFmtId="179" fontId="8" fillId="2" borderId="9" xfId="1" applyNumberFormat="1" applyFont="1" applyFill="1" applyBorder="1"/>
    <xf numFmtId="0" fontId="9" fillId="2" borderId="0" xfId="0" applyFont="1" applyFill="1" applyAlignment="1">
      <alignment vertical="center"/>
    </xf>
    <xf numFmtId="171" fontId="9" fillId="2" borderId="0" xfId="0" applyNumberFormat="1" applyFont="1" applyFill="1" applyAlignment="1">
      <alignment horizontal="right" vertical="center"/>
    </xf>
    <xf numFmtId="166" fontId="9" fillId="2" borderId="0" xfId="1" applyFont="1" applyFill="1" applyAlignment="1">
      <alignment vertical="center"/>
    </xf>
    <xf numFmtId="181" fontId="9" fillId="2" borderId="0" xfId="1" applyNumberFormat="1" applyFont="1" applyFill="1" applyAlignment="1">
      <alignment vertical="center"/>
    </xf>
    <xf numFmtId="171" fontId="9" fillId="2" borderId="0" xfId="0" applyNumberFormat="1" applyFont="1" applyFill="1" applyAlignment="1">
      <alignment vertical="center"/>
    </xf>
    <xf numFmtId="166" fontId="9" fillId="2" borderId="0" xfId="1" applyFont="1" applyFill="1" applyAlignment="1">
      <alignment horizontal="right" vertical="center"/>
    </xf>
    <xf numFmtId="0" fontId="7" fillId="5" borderId="2" xfId="0" applyFont="1" applyFill="1" applyBorder="1" applyAlignment="1">
      <alignment horizontal="center" wrapText="1"/>
    </xf>
    <xf numFmtId="179" fontId="7" fillId="2" borderId="3" xfId="1" applyNumberFormat="1" applyFont="1" applyFill="1" applyBorder="1"/>
    <xf numFmtId="179" fontId="7" fillId="2" borderId="2" xfId="0" applyNumberFormat="1" applyFont="1" applyFill="1" applyBorder="1" applyAlignment="1">
      <alignment vertical="center" wrapText="1"/>
    </xf>
    <xf numFmtId="179" fontId="0" fillId="2" borderId="2" xfId="0" applyNumberFormat="1" applyFill="1" applyBorder="1" applyAlignment="1">
      <alignment horizontal="center" vertical="center" wrapText="1"/>
    </xf>
    <xf numFmtId="0" fontId="0" fillId="2" borderId="156" xfId="0" applyFill="1" applyBorder="1" applyAlignment="1">
      <alignment vertical="center" wrapText="1"/>
    </xf>
    <xf numFmtId="179" fontId="8" fillId="2" borderId="172" xfId="1" applyNumberFormat="1" applyFont="1" applyFill="1" applyBorder="1"/>
    <xf numFmtId="0" fontId="38" fillId="2" borderId="0" xfId="4" applyFont="1" applyFill="1" applyAlignment="1">
      <alignment vertical="center"/>
    </xf>
    <xf numFmtId="0" fontId="10" fillId="2" borderId="2" xfId="1" applyNumberFormat="1" applyFont="1" applyFill="1" applyBorder="1" applyAlignment="1">
      <alignment horizontal="center" vertical="center" wrapText="1"/>
    </xf>
    <xf numFmtId="181" fontId="16" fillId="2" borderId="0" xfId="1" applyNumberFormat="1" applyFont="1" applyFill="1" applyAlignment="1">
      <alignment horizontal="right" vertical="center"/>
    </xf>
    <xf numFmtId="14" fontId="0" fillId="2" borderId="0" xfId="0" applyNumberFormat="1" applyFill="1"/>
    <xf numFmtId="14" fontId="0" fillId="5" borderId="0" xfId="0" applyNumberFormat="1" applyFill="1"/>
    <xf numFmtId="166" fontId="0" fillId="2" borderId="2" xfId="0" applyNumberFormat="1" applyFill="1" applyBorder="1"/>
    <xf numFmtId="166" fontId="16" fillId="5" borderId="2" xfId="0" applyNumberFormat="1" applyFont="1" applyFill="1" applyBorder="1"/>
    <xf numFmtId="166" fontId="16" fillId="2" borderId="9" xfId="0" applyNumberFormat="1" applyFont="1" applyFill="1" applyBorder="1" applyAlignment="1">
      <alignment vertical="center"/>
    </xf>
    <xf numFmtId="0" fontId="48" fillId="2" borderId="6" xfId="4" applyFont="1" applyFill="1" applyBorder="1" applyAlignment="1">
      <alignment vertical="center"/>
    </xf>
    <xf numFmtId="0" fontId="51" fillId="2" borderId="0" xfId="0" applyFont="1" applyFill="1" applyAlignment="1">
      <alignment vertical="center"/>
    </xf>
    <xf numFmtId="0" fontId="51" fillId="2" borderId="6" xfId="0" applyFont="1" applyFill="1" applyBorder="1" applyAlignment="1">
      <alignment vertical="center"/>
    </xf>
    <xf numFmtId="0" fontId="48" fillId="2" borderId="0" xfId="4" applyFont="1" applyFill="1" applyBorder="1" applyAlignment="1">
      <alignment vertical="center"/>
    </xf>
    <xf numFmtId="0" fontId="35" fillId="2" borderId="0" xfId="0" applyFont="1" applyFill="1" applyAlignment="1">
      <alignment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11" fillId="2" borderId="0" xfId="0" applyFont="1" applyFill="1" applyAlignment="1">
      <alignment vertical="center" wrapText="1"/>
    </xf>
    <xf numFmtId="164" fontId="9" fillId="2" borderId="0" xfId="0" applyNumberFormat="1" applyFont="1" applyFill="1" applyAlignment="1">
      <alignment vertical="center" wrapText="1"/>
    </xf>
    <xf numFmtId="165" fontId="3" fillId="2" borderId="0" xfId="0" applyNumberFormat="1" applyFont="1" applyFill="1" applyAlignment="1">
      <alignment vertical="center"/>
    </xf>
    <xf numFmtId="14" fontId="0" fillId="2" borderId="7" xfId="0" applyNumberFormat="1" applyFill="1" applyBorder="1"/>
    <xf numFmtId="170" fontId="0" fillId="2" borderId="7" xfId="0" applyNumberFormat="1" applyFill="1" applyBorder="1" applyAlignment="1">
      <alignment horizontal="center"/>
    </xf>
    <xf numFmtId="17" fontId="0" fillId="2" borderId="7" xfId="0" applyNumberFormat="1" applyFill="1" applyBorder="1" applyAlignment="1">
      <alignment horizontal="center"/>
    </xf>
    <xf numFmtId="174" fontId="0" fillId="2" borderId="7" xfId="0" applyNumberFormat="1" applyFill="1" applyBorder="1"/>
    <xf numFmtId="0" fontId="0" fillId="2" borderId="7" xfId="0" applyFill="1" applyBorder="1"/>
    <xf numFmtId="0" fontId="20" fillId="2" borderId="109" xfId="0" applyFont="1" applyFill="1" applyBorder="1" applyAlignment="1">
      <alignment vertical="center"/>
    </xf>
    <xf numFmtId="0" fontId="20" fillId="2" borderId="0" xfId="0" applyFont="1" applyFill="1" applyAlignment="1">
      <alignment vertical="center"/>
    </xf>
    <xf numFmtId="0" fontId="29" fillId="2" borderId="0" xfId="4" applyFill="1"/>
    <xf numFmtId="0" fontId="6" fillId="2" borderId="0" xfId="0" applyFont="1" applyFill="1" applyAlignment="1">
      <alignment horizontal="center" vertical="center"/>
    </xf>
    <xf numFmtId="179" fontId="8" fillId="2" borderId="0" xfId="4" applyNumberFormat="1" applyFont="1" applyFill="1" applyBorder="1" applyAlignment="1">
      <alignment vertical="center"/>
    </xf>
    <xf numFmtId="0" fontId="8" fillId="2" borderId="0" xfId="0" applyFont="1" applyFill="1" applyAlignment="1">
      <alignment horizontal="center" vertical="center"/>
    </xf>
    <xf numFmtId="183" fontId="3" fillId="5" borderId="2" xfId="0" applyNumberFormat="1" applyFont="1" applyFill="1" applyBorder="1"/>
    <xf numFmtId="183" fontId="7" fillId="5" borderId="2" xfId="0" applyNumberFormat="1" applyFont="1" applyFill="1" applyBorder="1"/>
    <xf numFmtId="0" fontId="0" fillId="2" borderId="0" xfId="0" applyFill="1" applyAlignment="1">
      <alignment horizontal="center"/>
    </xf>
    <xf numFmtId="179" fontId="16" fillId="7" borderId="2" xfId="0" applyNumberFormat="1" applyFont="1" applyFill="1" applyBorder="1" applyAlignment="1">
      <alignment horizontal="right"/>
    </xf>
    <xf numFmtId="14" fontId="0" fillId="2" borderId="2" xfId="0" applyNumberFormat="1" applyFill="1" applyBorder="1" applyAlignment="1" applyProtection="1">
      <alignment horizontal="center" vertical="center"/>
      <protection locked="0"/>
    </xf>
    <xf numFmtId="165" fontId="2" fillId="2" borderId="2" xfId="1" applyNumberFormat="1" applyFont="1" applyFill="1" applyBorder="1" applyAlignment="1" applyProtection="1">
      <alignment vertical="center"/>
      <protection locked="0"/>
    </xf>
    <xf numFmtId="165" fontId="3" fillId="2" borderId="2" xfId="0" applyNumberFormat="1" applyFont="1" applyFill="1" applyBorder="1"/>
    <xf numFmtId="0" fontId="0" fillId="2" borderId="8" xfId="0" applyFill="1" applyBorder="1" applyAlignment="1">
      <alignment vertical="center"/>
    </xf>
    <xf numFmtId="177" fontId="0" fillId="2" borderId="8" xfId="0" applyNumberFormat="1" applyFill="1" applyBorder="1" applyAlignment="1">
      <alignment horizontal="left" vertical="center"/>
    </xf>
    <xf numFmtId="168" fontId="0" fillId="2" borderId="163" xfId="1" applyNumberFormat="1" applyFont="1" applyFill="1" applyBorder="1" applyAlignment="1">
      <alignment vertical="center"/>
    </xf>
    <xf numFmtId="168" fontId="0" fillId="2" borderId="106" xfId="1" applyNumberFormat="1" applyFont="1" applyFill="1" applyBorder="1" applyAlignment="1">
      <alignment vertical="center"/>
    </xf>
    <xf numFmtId="168" fontId="3" fillId="2" borderId="34" xfId="1" applyNumberFormat="1" applyFont="1" applyFill="1" applyBorder="1" applyAlignment="1">
      <alignment vertical="center"/>
    </xf>
    <xf numFmtId="168" fontId="0" fillId="2" borderId="8" xfId="1" applyNumberFormat="1" applyFont="1" applyFill="1" applyBorder="1" applyAlignment="1">
      <alignment vertical="center"/>
    </xf>
    <xf numFmtId="168" fontId="0" fillId="2" borderId="58" xfId="1" applyNumberFormat="1" applyFont="1" applyFill="1" applyBorder="1" applyAlignment="1">
      <alignment vertical="center"/>
    </xf>
    <xf numFmtId="168" fontId="3" fillId="2" borderId="30" xfId="1" applyNumberFormat="1" applyFont="1" applyFill="1" applyBorder="1" applyAlignment="1">
      <alignment vertical="center"/>
    </xf>
    <xf numFmtId="168" fontId="3" fillId="2" borderId="8" xfId="1" applyNumberFormat="1" applyFont="1" applyFill="1" applyBorder="1" applyAlignment="1">
      <alignment vertical="center"/>
    </xf>
    <xf numFmtId="168" fontId="3" fillId="2" borderId="7" xfId="1" applyNumberFormat="1" applyFont="1" applyFill="1" applyBorder="1" applyAlignment="1">
      <alignment vertical="center"/>
    </xf>
    <xf numFmtId="168" fontId="3" fillId="2" borderId="12" xfId="1" applyNumberFormat="1" applyFont="1" applyFill="1" applyBorder="1" applyAlignment="1">
      <alignment vertical="center"/>
    </xf>
    <xf numFmtId="168" fontId="3" fillId="2" borderId="55" xfId="0" applyNumberFormat="1" applyFont="1" applyFill="1" applyBorder="1" applyAlignment="1">
      <alignment vertical="center"/>
    </xf>
    <xf numFmtId="168" fontId="3" fillId="2" borderId="24" xfId="0" applyNumberFormat="1" applyFont="1" applyFill="1" applyBorder="1" applyAlignment="1">
      <alignment vertical="center"/>
    </xf>
    <xf numFmtId="168" fontId="3" fillId="2" borderId="167" xfId="0" applyNumberFormat="1" applyFont="1" applyFill="1" applyBorder="1" applyAlignment="1">
      <alignment vertical="center"/>
    </xf>
    <xf numFmtId="168" fontId="3" fillId="2" borderId="170" xfId="0" applyNumberFormat="1" applyFont="1" applyFill="1" applyBorder="1" applyAlignment="1">
      <alignment vertical="center"/>
    </xf>
    <xf numFmtId="0" fontId="8" fillId="2" borderId="6" xfId="4" applyNumberFormat="1" applyFont="1" applyFill="1" applyBorder="1" applyAlignment="1" applyProtection="1">
      <alignment horizontal="center" vertical="center"/>
    </xf>
    <xf numFmtId="0" fontId="7" fillId="2" borderId="0" xfId="1" applyNumberFormat="1" applyFont="1" applyFill="1" applyAlignment="1" applyProtection="1">
      <alignment horizontal="center" vertical="center"/>
    </xf>
    <xf numFmtId="0" fontId="66" fillId="2" borderId="0" xfId="0" applyFont="1" applyFill="1" applyAlignment="1">
      <alignment horizontal="center" vertical="center"/>
    </xf>
    <xf numFmtId="177" fontId="4" fillId="2" borderId="6" xfId="0" applyNumberFormat="1" applyFont="1" applyFill="1" applyBorder="1" applyAlignment="1">
      <alignment horizontal="center" vertical="center"/>
    </xf>
    <xf numFmtId="182" fontId="65" fillId="31" borderId="0" xfId="1" applyNumberFormat="1" applyFont="1" applyFill="1" applyBorder="1" applyAlignment="1" applyProtection="1">
      <alignment horizontal="center" vertical="center"/>
    </xf>
    <xf numFmtId="0" fontId="4" fillId="31" borderId="2" xfId="1" applyNumberFormat="1" applyFont="1" applyFill="1" applyBorder="1" applyAlignment="1" applyProtection="1">
      <alignment horizontal="center" vertical="center" wrapText="1"/>
    </xf>
    <xf numFmtId="0" fontId="4" fillId="31" borderId="2" xfId="0" applyFont="1" applyFill="1" applyBorder="1" applyAlignment="1">
      <alignment horizontal="center" vertical="center" wrapText="1"/>
    </xf>
    <xf numFmtId="0" fontId="3" fillId="31" borderId="2" xfId="0" applyFont="1" applyFill="1" applyBorder="1" applyAlignment="1">
      <alignment horizontal="center" vertical="center" wrapText="1"/>
    </xf>
    <xf numFmtId="177" fontId="6" fillId="31" borderId="18" xfId="0" applyNumberFormat="1" applyFont="1" applyFill="1" applyBorder="1" applyAlignment="1" applyProtection="1">
      <alignment vertical="center"/>
      <protection locked="0"/>
    </xf>
    <xf numFmtId="0" fontId="4" fillId="31" borderId="1" xfId="0" applyFont="1" applyFill="1" applyBorder="1" applyAlignment="1" applyProtection="1">
      <alignment vertical="center"/>
      <protection locked="0"/>
    </xf>
    <xf numFmtId="182" fontId="7" fillId="31" borderId="2" xfId="4" applyNumberFormat="1" applyFont="1" applyFill="1" applyBorder="1" applyAlignment="1" applyProtection="1">
      <alignment vertical="center"/>
      <protection locked="0"/>
    </xf>
    <xf numFmtId="182" fontId="8" fillId="31" borderId="2" xfId="1" applyNumberFormat="1" applyFont="1" applyFill="1" applyBorder="1" applyAlignment="1" applyProtection="1">
      <alignment vertical="center"/>
      <protection locked="0"/>
    </xf>
    <xf numFmtId="177" fontId="4" fillId="31" borderId="4" xfId="0" applyNumberFormat="1" applyFont="1" applyFill="1" applyBorder="1" applyAlignment="1" applyProtection="1">
      <alignment vertical="center"/>
      <protection locked="0"/>
    </xf>
    <xf numFmtId="182" fontId="3" fillId="31" borderId="2" xfId="1" applyNumberFormat="1" applyFont="1" applyFill="1" applyBorder="1" applyAlignment="1" applyProtection="1">
      <alignment vertical="center"/>
      <protection locked="0"/>
    </xf>
    <xf numFmtId="177" fontId="3" fillId="31" borderId="1" xfId="0" applyNumberFormat="1" applyFont="1" applyFill="1" applyBorder="1" applyAlignment="1" applyProtection="1">
      <alignment vertical="center"/>
      <protection locked="0"/>
    </xf>
    <xf numFmtId="177" fontId="3" fillId="31" borderId="4" xfId="0" applyNumberFormat="1" applyFont="1" applyFill="1" applyBorder="1" applyAlignment="1" applyProtection="1">
      <alignment vertical="center"/>
      <protection locked="0"/>
    </xf>
    <xf numFmtId="182" fontId="3" fillId="31" borderId="9" xfId="1" applyNumberFormat="1" applyFont="1" applyFill="1" applyBorder="1" applyAlignment="1" applyProtection="1">
      <alignment horizontal="right" vertical="center"/>
      <protection locked="0"/>
    </xf>
    <xf numFmtId="177" fontId="3" fillId="31" borderId="77" xfId="1" applyNumberFormat="1" applyFont="1" applyFill="1" applyBorder="1" applyAlignment="1" applyProtection="1">
      <alignment vertical="center" wrapText="1"/>
      <protection locked="0"/>
    </xf>
    <xf numFmtId="182" fontId="2" fillId="31" borderId="2" xfId="1" applyNumberFormat="1" applyFill="1" applyBorder="1" applyAlignment="1" applyProtection="1">
      <alignment horizontal="right" vertical="center"/>
      <protection locked="0"/>
    </xf>
    <xf numFmtId="182" fontId="4" fillId="31" borderId="2" xfId="1" applyNumberFormat="1" applyFont="1" applyFill="1" applyBorder="1" applyAlignment="1" applyProtection="1">
      <alignment horizontal="center" vertical="center"/>
      <protection locked="0"/>
    </xf>
    <xf numFmtId="182" fontId="3" fillId="31" borderId="2" xfId="1" applyNumberFormat="1" applyFont="1" applyFill="1" applyBorder="1" applyAlignment="1" applyProtection="1">
      <alignment horizontal="right" vertical="center"/>
      <protection locked="0"/>
    </xf>
    <xf numFmtId="182" fontId="7" fillId="31" borderId="17" xfId="4" applyNumberFormat="1" applyFont="1" applyFill="1" applyBorder="1" applyAlignment="1" applyProtection="1">
      <alignment vertical="center"/>
      <protection locked="0"/>
    </xf>
    <xf numFmtId="182" fontId="3" fillId="31" borderId="56" xfId="1" applyNumberFormat="1" applyFont="1" applyFill="1" applyBorder="1" applyAlignment="1" applyProtection="1">
      <alignment horizontal="right" vertical="center"/>
      <protection locked="0"/>
    </xf>
    <xf numFmtId="182" fontId="3" fillId="31" borderId="31" xfId="0" applyNumberFormat="1" applyFont="1" applyFill="1" applyBorder="1" applyAlignment="1" applyProtection="1">
      <alignment horizontal="right" vertical="center"/>
      <protection locked="0"/>
    </xf>
    <xf numFmtId="177" fontId="3" fillId="31" borderId="122" xfId="0" applyNumberFormat="1" applyFont="1" applyFill="1" applyBorder="1" applyAlignment="1" applyProtection="1">
      <alignment vertical="center"/>
      <protection locked="0"/>
    </xf>
    <xf numFmtId="182" fontId="7" fillId="31" borderId="17" xfId="4" applyNumberFormat="1" applyFont="1" applyFill="1" applyBorder="1" applyAlignment="1" applyProtection="1">
      <alignment vertical="center" textRotation="90"/>
      <protection locked="0"/>
    </xf>
    <xf numFmtId="182" fontId="7" fillId="31" borderId="7" xfId="4" applyNumberFormat="1" applyFont="1" applyFill="1" applyBorder="1" applyAlignment="1" applyProtection="1">
      <alignment vertical="center" textRotation="90"/>
      <protection locked="0"/>
    </xf>
    <xf numFmtId="182" fontId="30" fillId="31" borderId="2" xfId="4" applyNumberFormat="1" applyFont="1" applyFill="1" applyBorder="1" applyAlignment="1" applyProtection="1">
      <alignment vertical="center"/>
      <protection locked="0"/>
    </xf>
    <xf numFmtId="182" fontId="33" fillId="31" borderId="2" xfId="4" applyNumberFormat="1" applyFont="1" applyFill="1" applyBorder="1" applyAlignment="1" applyProtection="1">
      <alignment vertical="center"/>
      <protection locked="0"/>
    </xf>
    <xf numFmtId="182" fontId="13" fillId="31" borderId="18" xfId="0" applyNumberFormat="1" applyFont="1" applyFill="1" applyBorder="1" applyAlignment="1" applyProtection="1">
      <alignment vertical="center"/>
      <protection locked="0"/>
    </xf>
    <xf numFmtId="182" fontId="24" fillId="31" borderId="130" xfId="0" applyNumberFormat="1" applyFont="1" applyFill="1" applyBorder="1" applyAlignment="1" applyProtection="1">
      <alignment vertical="center"/>
      <protection locked="0"/>
    </xf>
    <xf numFmtId="0" fontId="4" fillId="31" borderId="122" xfId="0" applyFont="1" applyFill="1" applyBorder="1" applyAlignment="1" applyProtection="1">
      <alignment vertical="center"/>
      <protection locked="0"/>
    </xf>
    <xf numFmtId="0" fontId="4" fillId="31" borderId="13" xfId="0" applyFont="1" applyFill="1" applyBorder="1" applyAlignment="1" applyProtection="1">
      <alignment vertical="center"/>
      <protection locked="0"/>
    </xf>
    <xf numFmtId="0" fontId="4" fillId="31" borderId="2" xfId="0" applyFont="1" applyFill="1" applyBorder="1" applyAlignment="1" applyProtection="1">
      <alignment horizontal="center" vertical="center"/>
      <protection locked="0"/>
    </xf>
    <xf numFmtId="182" fontId="0" fillId="31" borderId="2" xfId="1" applyNumberFormat="1" applyFont="1" applyFill="1" applyBorder="1" applyAlignment="1" applyProtection="1">
      <alignment horizontal="right" vertical="center"/>
      <protection locked="0"/>
    </xf>
    <xf numFmtId="182" fontId="2" fillId="31" borderId="2" xfId="1" applyNumberFormat="1" applyFill="1" applyBorder="1" applyAlignment="1" applyProtection="1">
      <alignment vertical="center"/>
      <protection locked="0"/>
    </xf>
    <xf numFmtId="177" fontId="0" fillId="31" borderId="17" xfId="0" applyNumberFormat="1" applyFill="1" applyBorder="1" applyAlignment="1" applyProtection="1">
      <alignment vertical="center"/>
      <protection locked="0"/>
    </xf>
    <xf numFmtId="182" fontId="3" fillId="31" borderId="64" xfId="1" applyNumberFormat="1" applyFont="1" applyFill="1" applyBorder="1" applyAlignment="1" applyProtection="1">
      <alignment horizontal="right" vertical="center"/>
      <protection locked="0"/>
    </xf>
    <xf numFmtId="182" fontId="0" fillId="31" borderId="0" xfId="1" applyNumberFormat="1" applyFont="1" applyFill="1" applyAlignment="1" applyProtection="1">
      <alignment vertical="center"/>
    </xf>
    <xf numFmtId="171" fontId="6" fillId="18" borderId="18" xfId="1" applyNumberFormat="1" applyFont="1" applyFill="1" applyBorder="1" applyAlignment="1" applyProtection="1">
      <alignment vertical="center"/>
      <protection locked="0"/>
    </xf>
    <xf numFmtId="171" fontId="4" fillId="18" borderId="1" xfId="1" applyNumberFormat="1" applyFont="1" applyFill="1" applyBorder="1" applyAlignment="1" applyProtection="1">
      <alignment vertical="center"/>
      <protection locked="0"/>
    </xf>
    <xf numFmtId="171" fontId="4" fillId="18" borderId="4" xfId="1" applyNumberFormat="1" applyFont="1" applyFill="1" applyBorder="1" applyAlignment="1" applyProtection="1">
      <alignment vertical="center"/>
      <protection locked="0"/>
    </xf>
    <xf numFmtId="171" fontId="7" fillId="0" borderId="2" xfId="1" applyNumberFormat="1" applyFont="1" applyFill="1" applyBorder="1" applyAlignment="1" applyProtection="1">
      <alignment vertical="center"/>
      <protection locked="0"/>
    </xf>
    <xf numFmtId="171" fontId="3" fillId="18" borderId="1" xfId="1" applyNumberFormat="1" applyFont="1" applyFill="1" applyBorder="1" applyAlignment="1" applyProtection="1">
      <alignment vertical="center"/>
      <protection locked="0"/>
    </xf>
    <xf numFmtId="171" fontId="3" fillId="18" borderId="77" xfId="1" applyNumberFormat="1" applyFont="1" applyFill="1" applyBorder="1" applyAlignment="1" applyProtection="1">
      <alignment vertical="center" wrapText="1"/>
      <protection locked="0"/>
    </xf>
    <xf numFmtId="171" fontId="2" fillId="2" borderId="2" xfId="1" applyNumberFormat="1" applyFill="1" applyBorder="1" applyAlignment="1" applyProtection="1">
      <alignment horizontal="right" vertical="center"/>
      <protection locked="0"/>
    </xf>
    <xf numFmtId="171" fontId="4" fillId="2" borderId="2" xfId="1" applyNumberFormat="1" applyFont="1" applyFill="1" applyBorder="1" applyAlignment="1" applyProtection="1">
      <alignment horizontal="center" vertical="center"/>
      <protection locked="0"/>
    </xf>
    <xf numFmtId="171" fontId="3" fillId="2" borderId="2" xfId="1" applyNumberFormat="1" applyFont="1" applyFill="1" applyBorder="1" applyAlignment="1" applyProtection="1">
      <alignment horizontal="right" vertical="center"/>
      <protection locked="0"/>
    </xf>
    <xf numFmtId="171" fontId="3" fillId="18" borderId="122" xfId="1" applyNumberFormat="1" applyFont="1" applyFill="1" applyBorder="1" applyAlignment="1" applyProtection="1">
      <alignment vertical="center"/>
      <protection locked="0"/>
    </xf>
    <xf numFmtId="171" fontId="7" fillId="2" borderId="17" xfId="1" applyNumberFormat="1" applyFont="1" applyFill="1" applyBorder="1" applyAlignment="1" applyProtection="1">
      <alignment vertical="center" textRotation="90"/>
      <protection locked="0"/>
    </xf>
    <xf numFmtId="171" fontId="7" fillId="2" borderId="7" xfId="1" applyNumberFormat="1" applyFont="1" applyFill="1" applyBorder="1" applyAlignment="1" applyProtection="1">
      <alignment vertical="center" textRotation="90"/>
      <protection locked="0"/>
    </xf>
    <xf numFmtId="171" fontId="4" fillId="2" borderId="122" xfId="1" applyNumberFormat="1" applyFont="1" applyFill="1" applyBorder="1" applyAlignment="1" applyProtection="1">
      <alignment vertical="center"/>
      <protection locked="0"/>
    </xf>
    <xf numFmtId="171" fontId="4" fillId="2" borderId="13" xfId="1" applyNumberFormat="1" applyFont="1" applyFill="1" applyBorder="1" applyAlignment="1" applyProtection="1">
      <alignment vertical="center"/>
      <protection locked="0"/>
    </xf>
    <xf numFmtId="171" fontId="51" fillId="0" borderId="17" xfId="1" applyNumberFormat="1" applyFont="1" applyFill="1" applyBorder="1" applyAlignment="1" applyProtection="1">
      <alignment horizontal="center" vertical="center" textRotation="90" wrapText="1"/>
      <protection locked="0"/>
    </xf>
    <xf numFmtId="171" fontId="51" fillId="0" borderId="7" xfId="1" applyNumberFormat="1" applyFont="1" applyFill="1" applyBorder="1" applyAlignment="1" applyProtection="1">
      <alignment horizontal="center" vertical="center" textRotation="90"/>
      <protection locked="0"/>
    </xf>
    <xf numFmtId="171" fontId="51" fillId="0" borderId="13" xfId="1" applyNumberFormat="1" applyFont="1" applyFill="1" applyBorder="1" applyAlignment="1" applyProtection="1">
      <alignment horizontal="center" vertical="center" textRotation="90"/>
      <protection locked="0"/>
    </xf>
    <xf numFmtId="182" fontId="4" fillId="2" borderId="3" xfId="1" applyNumberFormat="1" applyFont="1" applyFill="1" applyBorder="1" applyAlignment="1" applyProtection="1">
      <alignment horizontal="center" vertical="center" wrapText="1"/>
    </xf>
    <xf numFmtId="182" fontId="4" fillId="2" borderId="4" xfId="1" applyNumberFormat="1" applyFont="1" applyFill="1" applyBorder="1" applyAlignment="1" applyProtection="1">
      <alignment horizontal="center" vertical="center" wrapText="1"/>
    </xf>
    <xf numFmtId="182" fontId="4" fillId="2" borderId="5" xfId="1" applyNumberFormat="1" applyFont="1" applyFill="1" applyBorder="1" applyAlignment="1" applyProtection="1">
      <alignment horizontal="center" vertical="center" wrapText="1"/>
    </xf>
    <xf numFmtId="182" fontId="51" fillId="22" borderId="17" xfId="4" applyNumberFormat="1" applyFont="1" applyFill="1" applyBorder="1" applyAlignment="1" applyProtection="1">
      <alignment horizontal="center" vertical="center" textRotation="90" wrapText="1"/>
      <protection locked="0"/>
    </xf>
    <xf numFmtId="182" fontId="51" fillId="22" borderId="7" xfId="4" applyNumberFormat="1" applyFont="1" applyFill="1" applyBorder="1" applyAlignment="1" applyProtection="1">
      <alignment horizontal="center" vertical="center" textRotation="90" wrapText="1"/>
      <protection locked="0"/>
    </xf>
    <xf numFmtId="182" fontId="51" fillId="22" borderId="13" xfId="4" applyNumberFormat="1" applyFont="1" applyFill="1" applyBorder="1" applyAlignment="1" applyProtection="1">
      <alignment horizontal="center" vertical="center" textRotation="90" wrapText="1"/>
      <protection locked="0"/>
    </xf>
    <xf numFmtId="0" fontId="60" fillId="2" borderId="17" xfId="1" applyNumberFormat="1" applyFont="1" applyFill="1" applyBorder="1" applyAlignment="1" applyProtection="1">
      <alignment horizontal="center" vertical="center" wrapText="1"/>
    </xf>
    <xf numFmtId="0" fontId="60" fillId="2" borderId="13" xfId="1" applyNumberFormat="1" applyFont="1" applyFill="1" applyBorder="1" applyAlignment="1" applyProtection="1">
      <alignment horizontal="center" vertical="center" wrapText="1"/>
    </xf>
    <xf numFmtId="0" fontId="4" fillId="2" borderId="17" xfId="1" applyNumberFormat="1" applyFont="1" applyFill="1" applyBorder="1" applyAlignment="1" applyProtection="1">
      <alignment horizontal="center" vertical="center"/>
    </xf>
    <xf numFmtId="0" fontId="4" fillId="2" borderId="13" xfId="1" applyNumberFormat="1" applyFont="1" applyFill="1" applyBorder="1" applyAlignment="1" applyProtection="1">
      <alignment horizontal="center" vertical="center"/>
    </xf>
    <xf numFmtId="167" fontId="3" fillId="0" borderId="14" xfId="1" applyNumberFormat="1" applyFont="1" applyBorder="1" applyAlignment="1" applyProtection="1">
      <alignment horizontal="center" vertical="center"/>
    </xf>
    <xf numFmtId="167" fontId="3" fillId="0" borderId="1" xfId="1" applyNumberFormat="1" applyFont="1" applyBorder="1" applyAlignment="1" applyProtection="1">
      <alignment horizontal="center" vertical="center"/>
    </xf>
    <xf numFmtId="167" fontId="3" fillId="0" borderId="21" xfId="1" applyNumberFormat="1" applyFont="1" applyBorder="1" applyAlignment="1" applyProtection="1">
      <alignment horizontal="center" vertical="center"/>
    </xf>
    <xf numFmtId="182" fontId="51" fillId="31" borderId="17" xfId="4" applyNumberFormat="1" applyFont="1" applyFill="1" applyBorder="1" applyAlignment="1" applyProtection="1">
      <alignment horizontal="center" vertical="center" textRotation="90" wrapText="1"/>
      <protection locked="0"/>
    </xf>
    <xf numFmtId="182" fontId="51" fillId="31" borderId="7" xfId="4" applyNumberFormat="1" applyFont="1" applyFill="1" applyBorder="1" applyAlignment="1" applyProtection="1">
      <alignment horizontal="center" vertical="center" textRotation="90"/>
      <protection locked="0"/>
    </xf>
    <xf numFmtId="182" fontId="51" fillId="31" borderId="13" xfId="4" applyNumberFormat="1" applyFont="1" applyFill="1" applyBorder="1" applyAlignment="1" applyProtection="1">
      <alignment horizontal="center" vertical="center" textRotation="90"/>
      <protection locked="0"/>
    </xf>
    <xf numFmtId="182" fontId="68" fillId="2" borderId="0" xfId="4" applyNumberFormat="1" applyFont="1" applyFill="1" applyAlignment="1" applyProtection="1">
      <alignment horizontal="center" vertical="center"/>
    </xf>
    <xf numFmtId="0" fontId="24" fillId="0" borderId="15" xfId="0" applyFont="1" applyBorder="1" applyAlignment="1">
      <alignment horizontal="center" vertical="center"/>
    </xf>
    <xf numFmtId="0" fontId="24" fillId="0" borderId="18" xfId="0" applyFont="1" applyBorder="1" applyAlignment="1">
      <alignment horizontal="center" vertical="center"/>
    </xf>
    <xf numFmtId="0" fontId="24" fillId="0" borderId="20"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vertical="center"/>
    </xf>
    <xf numFmtId="0" fontId="15" fillId="2" borderId="0" xfId="0" applyFont="1" applyFill="1" applyAlignment="1">
      <alignment horizontal="center" vertical="center"/>
    </xf>
    <xf numFmtId="164" fontId="0" fillId="2" borderId="15" xfId="1" applyNumberFormat="1" applyFont="1" applyFill="1" applyBorder="1" applyAlignment="1">
      <alignment horizontal="right" vertical="center"/>
    </xf>
    <xf numFmtId="164" fontId="0" fillId="2" borderId="6" xfId="1" applyNumberFormat="1" applyFont="1" applyFill="1" applyBorder="1" applyAlignment="1">
      <alignment horizontal="right" vertical="center"/>
    </xf>
    <xf numFmtId="164" fontId="0" fillId="2" borderId="14" xfId="1" applyNumberFormat="1" applyFont="1" applyFill="1" applyBorder="1" applyAlignment="1">
      <alignment horizontal="right" vertical="center"/>
    </xf>
    <xf numFmtId="164" fontId="0" fillId="2" borderId="69" xfId="1" applyNumberFormat="1" applyFont="1" applyFill="1" applyBorder="1" applyAlignment="1">
      <alignment horizontal="right" vertical="center"/>
    </xf>
    <xf numFmtId="164" fontId="0" fillId="2" borderId="73" xfId="1" applyNumberFormat="1" applyFont="1" applyFill="1" applyBorder="1" applyAlignment="1">
      <alignment horizontal="right" vertical="center"/>
    </xf>
    <xf numFmtId="164" fontId="0" fillId="2" borderId="68" xfId="1" applyNumberFormat="1" applyFont="1" applyFill="1" applyBorder="1" applyAlignment="1">
      <alignment horizontal="right" vertical="center"/>
    </xf>
    <xf numFmtId="0" fontId="3" fillId="2" borderId="4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2" xfId="1" quotePrefix="1" applyNumberFormat="1" applyFont="1" applyFill="1" applyBorder="1" applyAlignment="1">
      <alignment horizontal="left" vertical="center" wrapText="1"/>
    </xf>
    <xf numFmtId="0" fontId="0" fillId="2" borderId="2" xfId="1" quotePrefix="1" applyNumberFormat="1" applyFont="1" applyFill="1" applyBorder="1" applyAlignment="1">
      <alignment horizontal="left" vertical="center"/>
    </xf>
    <xf numFmtId="164" fontId="2" fillId="2" borderId="2" xfId="1" applyNumberFormat="1" applyFill="1" applyBorder="1" applyAlignment="1">
      <alignment horizontal="right" vertical="center"/>
    </xf>
    <xf numFmtId="0" fontId="13" fillId="2" borderId="1" xfId="0" applyFont="1" applyFill="1" applyBorder="1" applyAlignment="1">
      <alignment horizontal="center" vertical="center"/>
    </xf>
    <xf numFmtId="177" fontId="4" fillId="2" borderId="6" xfId="0" applyNumberFormat="1" applyFont="1" applyFill="1" applyBorder="1" applyAlignment="1">
      <alignment horizontal="center" vertical="center"/>
    </xf>
    <xf numFmtId="177" fontId="4" fillId="2" borderId="0" xfId="0" applyNumberFormat="1" applyFont="1" applyFill="1" applyAlignment="1">
      <alignment horizontal="center" vertical="center"/>
    </xf>
    <xf numFmtId="177" fontId="4" fillId="2" borderId="8" xfId="0" applyNumberFormat="1" applyFont="1" applyFill="1" applyBorder="1" applyAlignment="1">
      <alignment horizontal="center" vertical="center"/>
    </xf>
    <xf numFmtId="164" fontId="0" fillId="2" borderId="20" xfId="1" applyNumberFormat="1" applyFont="1" applyFill="1" applyBorder="1" applyAlignment="1">
      <alignment horizontal="right" vertical="center"/>
    </xf>
    <xf numFmtId="164" fontId="0" fillId="2" borderId="8" xfId="1" applyNumberFormat="1" applyFont="1" applyFill="1" applyBorder="1" applyAlignment="1">
      <alignment horizontal="right" vertical="center"/>
    </xf>
    <xf numFmtId="164" fontId="0" fillId="2" borderId="21" xfId="1" applyNumberFormat="1" applyFont="1" applyFill="1" applyBorder="1" applyAlignment="1">
      <alignment horizontal="righ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xf>
    <xf numFmtId="0" fontId="0" fillId="2" borderId="17" xfId="1" quotePrefix="1" applyNumberFormat="1" applyFont="1" applyFill="1" applyBorder="1" applyAlignment="1">
      <alignment horizontal="left" vertical="center" wrapText="1"/>
    </xf>
    <xf numFmtId="0" fontId="0" fillId="2" borderId="13" xfId="1" quotePrefix="1" applyNumberFormat="1" applyFont="1" applyFill="1" applyBorder="1" applyAlignment="1">
      <alignment horizontal="left" vertical="center"/>
    </xf>
    <xf numFmtId="0" fontId="26"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13" xfId="1" quotePrefix="1" applyNumberFormat="1" applyFont="1" applyFill="1" applyBorder="1" applyAlignment="1">
      <alignment horizontal="lef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31" fillId="0" borderId="6" xfId="4" applyFont="1" applyBorder="1" applyAlignment="1">
      <alignment horizontal="left" vertical="center"/>
    </xf>
    <xf numFmtId="0" fontId="31" fillId="0" borderId="0" xfId="4" applyFont="1" applyAlignment="1">
      <alignment horizontal="left" vertical="center"/>
    </xf>
    <xf numFmtId="0" fontId="3" fillId="0" borderId="0" xfId="0" applyFont="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0" fillId="0" borderId="14" xfId="0" applyBorder="1" applyAlignment="1">
      <alignment horizontal="center" vertical="center"/>
    </xf>
    <xf numFmtId="0" fontId="0" fillId="0" borderId="1"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7" fontId="0" fillId="0" borderId="17" xfId="0" applyNumberFormat="1" applyBorder="1" applyAlignment="1">
      <alignment horizontal="right" vertical="center"/>
    </xf>
    <xf numFmtId="177" fontId="0" fillId="0" borderId="13" xfId="0" applyNumberFormat="1" applyBorder="1" applyAlignment="1">
      <alignment horizontal="right" vertical="center"/>
    </xf>
    <xf numFmtId="167" fontId="3" fillId="0" borderId="0" xfId="1" applyNumberFormat="1" applyFont="1" applyAlignment="1">
      <alignment horizontal="center" vertical="center"/>
    </xf>
    <xf numFmtId="177" fontId="6" fillId="0" borderId="15" xfId="0" applyNumberFormat="1" applyFont="1" applyBorder="1" applyAlignment="1">
      <alignment horizontal="center" vertical="center"/>
    </xf>
    <xf numFmtId="177" fontId="6" fillId="0" borderId="18" xfId="0" applyNumberFormat="1" applyFont="1" applyBorder="1" applyAlignment="1">
      <alignment horizontal="center" vertical="center"/>
    </xf>
    <xf numFmtId="177" fontId="6" fillId="0" borderId="20" xfId="0" applyNumberFormat="1" applyFont="1" applyBorder="1" applyAlignment="1">
      <alignment horizontal="center" vertical="center"/>
    </xf>
    <xf numFmtId="168" fontId="13" fillId="2" borderId="3" xfId="1" applyNumberFormat="1" applyFont="1" applyFill="1" applyBorder="1" applyAlignment="1">
      <alignment horizontal="center" vertical="center" wrapText="1"/>
    </xf>
    <xf numFmtId="168" fontId="13" fillId="2" borderId="5" xfId="1" applyNumberFormat="1" applyFont="1" applyFill="1" applyBorder="1" applyAlignment="1">
      <alignment horizontal="center" vertical="center" wrapText="1"/>
    </xf>
    <xf numFmtId="0" fontId="13" fillId="0" borderId="2" xfId="1" applyNumberFormat="1" applyFont="1" applyBorder="1" applyAlignment="1">
      <alignment horizontal="center" vertical="center" wrapText="1"/>
    </xf>
    <xf numFmtId="0" fontId="13" fillId="0" borderId="2" xfId="0" applyFont="1" applyBorder="1" applyAlignment="1">
      <alignment horizontal="center" vertical="center" wrapText="1"/>
    </xf>
    <xf numFmtId="177" fontId="6" fillId="0" borderId="6"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8" xfId="0" applyNumberFormat="1" applyFont="1" applyBorder="1" applyAlignment="1">
      <alignment horizontal="center" vertical="center"/>
    </xf>
    <xf numFmtId="171" fontId="16" fillId="12" borderId="2" xfId="1" applyNumberFormat="1" applyFont="1" applyFill="1" applyBorder="1" applyAlignment="1">
      <alignment horizontal="center" vertical="center"/>
    </xf>
    <xf numFmtId="0" fontId="42" fillId="2" borderId="17"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13" xfId="0" applyFont="1" applyFill="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0" xfId="0" applyFont="1" applyAlignment="1">
      <alignment horizontal="center" vertical="center"/>
    </xf>
    <xf numFmtId="0" fontId="6" fillId="0" borderId="8" xfId="0" applyFont="1" applyBorder="1" applyAlignment="1">
      <alignment horizontal="center" vertical="center"/>
    </xf>
    <xf numFmtId="177" fontId="13" fillId="2" borderId="6" xfId="1" applyNumberFormat="1" applyFont="1" applyFill="1" applyBorder="1" applyAlignment="1">
      <alignment horizontal="center" vertical="center"/>
    </xf>
    <xf numFmtId="177" fontId="13" fillId="2" borderId="0" xfId="1" applyNumberFormat="1" applyFont="1" applyFill="1" applyAlignment="1">
      <alignment horizontal="center" vertical="center"/>
    </xf>
    <xf numFmtId="177" fontId="13" fillId="2" borderId="8" xfId="1" applyNumberFormat="1" applyFont="1" applyFill="1" applyBorder="1" applyAlignment="1">
      <alignment horizontal="center" vertical="center"/>
    </xf>
    <xf numFmtId="177" fontId="13" fillId="0" borderId="6" xfId="0" applyNumberFormat="1" applyFont="1" applyBorder="1" applyAlignment="1">
      <alignment horizontal="center" vertical="center"/>
    </xf>
    <xf numFmtId="177" fontId="13" fillId="0" borderId="0" xfId="0" applyNumberFormat="1" applyFont="1" applyAlignment="1">
      <alignment horizontal="center" vertical="center"/>
    </xf>
    <xf numFmtId="177" fontId="13" fillId="0" borderId="8" xfId="0" applyNumberFormat="1" applyFont="1" applyBorder="1" applyAlignment="1">
      <alignment horizontal="center" vertical="center"/>
    </xf>
    <xf numFmtId="0" fontId="13" fillId="0" borderId="8" xfId="0" applyFont="1" applyBorder="1" applyAlignment="1">
      <alignment horizontal="center" vertical="center"/>
    </xf>
    <xf numFmtId="0" fontId="54" fillId="2" borderId="94" xfId="1" applyNumberFormat="1" applyFont="1" applyFill="1" applyBorder="1" applyAlignment="1">
      <alignment horizontal="center" vertical="center" wrapText="1"/>
    </xf>
    <xf numFmtId="0" fontId="54" fillId="2" borderId="4" xfId="1" applyNumberFormat="1" applyFont="1" applyFill="1" applyBorder="1" applyAlignment="1">
      <alignment horizontal="center" vertical="center" wrapText="1"/>
    </xf>
    <xf numFmtId="0" fontId="54" fillId="2" borderId="119" xfId="1" applyNumberFormat="1" applyFont="1" applyFill="1" applyBorder="1" applyAlignment="1">
      <alignment horizontal="center" vertical="center" wrapText="1"/>
    </xf>
    <xf numFmtId="0" fontId="54" fillId="2" borderId="5" xfId="1" applyNumberFormat="1" applyFont="1" applyFill="1" applyBorder="1" applyAlignment="1">
      <alignment horizontal="center" vertical="center" wrapText="1"/>
    </xf>
    <xf numFmtId="180" fontId="4" fillId="2" borderId="3" xfId="1" applyNumberFormat="1" applyFont="1" applyFill="1" applyBorder="1" applyAlignment="1">
      <alignment horizontal="left" vertical="center"/>
    </xf>
    <xf numFmtId="180" fontId="4" fillId="2" borderId="4" xfId="1" applyNumberFormat="1" applyFont="1" applyFill="1" applyBorder="1" applyAlignment="1">
      <alignment horizontal="left" vertical="center"/>
    </xf>
    <xf numFmtId="180" fontId="4" fillId="2" borderId="119" xfId="1" applyNumberFormat="1" applyFont="1" applyFill="1" applyBorder="1" applyAlignment="1">
      <alignment horizontal="left" vertical="center"/>
    </xf>
    <xf numFmtId="180" fontId="4" fillId="2" borderId="5" xfId="1" applyNumberFormat="1" applyFont="1" applyFill="1" applyBorder="1" applyAlignment="1">
      <alignment horizontal="left" vertical="center"/>
    </xf>
    <xf numFmtId="0" fontId="39" fillId="2" borderId="0" xfId="4" applyFont="1" applyFill="1" applyAlignment="1">
      <alignment horizontal="center" vertical="center"/>
    </xf>
    <xf numFmtId="0" fontId="54" fillId="3" borderId="2" xfId="0" applyFont="1" applyFill="1" applyBorder="1" applyAlignment="1">
      <alignment horizontal="center" vertical="center"/>
    </xf>
    <xf numFmtId="0" fontId="54" fillId="3" borderId="3" xfId="0" applyFont="1" applyFill="1" applyBorder="1" applyAlignment="1">
      <alignment horizontal="center" vertical="center"/>
    </xf>
    <xf numFmtId="0" fontId="61" fillId="31" borderId="96" xfId="0" applyFont="1" applyFill="1" applyBorder="1" applyAlignment="1">
      <alignment horizontal="center" vertical="center"/>
    </xf>
    <xf numFmtId="0" fontId="61" fillId="31"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26" xfId="0" applyFont="1" applyFill="1" applyBorder="1" applyAlignment="1">
      <alignment horizontal="center" vertical="center"/>
    </xf>
    <xf numFmtId="171" fontId="3" fillId="2" borderId="40" xfId="1" applyNumberFormat="1" applyFont="1" applyFill="1" applyBorder="1" applyAlignment="1">
      <alignment horizontal="center" vertical="center"/>
    </xf>
    <xf numFmtId="171" fontId="3" fillId="2" borderId="37" xfId="1" applyNumberFormat="1" applyFont="1" applyFill="1" applyBorder="1" applyAlignment="1">
      <alignment horizontal="center" vertical="center"/>
    </xf>
    <xf numFmtId="171" fontId="3" fillId="2" borderId="41" xfId="1" applyNumberFormat="1" applyFont="1" applyFill="1" applyBorder="1" applyAlignment="1">
      <alignment horizontal="center" vertical="center"/>
    </xf>
    <xf numFmtId="180" fontId="3" fillId="2" borderId="6" xfId="1" applyNumberFormat="1" applyFont="1" applyFill="1" applyBorder="1" applyAlignment="1">
      <alignment horizontal="center" vertical="center"/>
    </xf>
    <xf numFmtId="180" fontId="3" fillId="2" borderId="0" xfId="1" applyNumberFormat="1" applyFont="1" applyFill="1" applyBorder="1" applyAlignment="1">
      <alignment horizontal="center" vertical="center"/>
    </xf>
    <xf numFmtId="180" fontId="3" fillId="2" borderId="8" xfId="1" applyNumberFormat="1" applyFont="1" applyFill="1" applyBorder="1" applyAlignment="1">
      <alignment horizontal="center" vertical="center"/>
    </xf>
    <xf numFmtId="180" fontId="3" fillId="2" borderId="152" xfId="1" applyNumberFormat="1" applyFont="1" applyFill="1" applyBorder="1" applyAlignment="1">
      <alignment horizontal="center" vertical="center"/>
    </xf>
    <xf numFmtId="180" fontId="3" fillId="2" borderId="16" xfId="1" applyNumberFormat="1" applyFont="1" applyFill="1" applyBorder="1" applyAlignment="1">
      <alignment horizontal="center" vertical="center"/>
    </xf>
    <xf numFmtId="180" fontId="3" fillId="2" borderId="153" xfId="1" applyNumberFormat="1" applyFont="1" applyFill="1" applyBorder="1" applyAlignment="1">
      <alignment horizontal="center" vertical="center"/>
    </xf>
    <xf numFmtId="180" fontId="3" fillId="2" borderId="149" xfId="1" applyNumberFormat="1" applyFont="1" applyFill="1" applyBorder="1" applyAlignment="1">
      <alignment horizontal="center" vertical="center"/>
    </xf>
    <xf numFmtId="180" fontId="3" fillId="2" borderId="150" xfId="1" applyNumberFormat="1" applyFont="1" applyFill="1" applyBorder="1" applyAlignment="1">
      <alignment horizontal="center" vertical="center"/>
    </xf>
    <xf numFmtId="171" fontId="3" fillId="2" borderId="6" xfId="1" applyNumberFormat="1" applyFont="1" applyFill="1" applyBorder="1" applyAlignment="1">
      <alignment horizontal="center" vertical="center"/>
    </xf>
    <xf numFmtId="171" fontId="3" fillId="2" borderId="0" xfId="1" applyNumberFormat="1" applyFont="1" applyFill="1" applyBorder="1" applyAlignment="1">
      <alignment horizontal="center" vertical="center"/>
    </xf>
    <xf numFmtId="171" fontId="3" fillId="2" borderId="8" xfId="1" applyNumberFormat="1" applyFont="1" applyFill="1" applyBorder="1" applyAlignment="1">
      <alignment horizontal="center" vertical="center"/>
    </xf>
    <xf numFmtId="0" fontId="39" fillId="2" borderId="0" xfId="4" applyFont="1" applyFill="1" applyBorder="1" applyAlignment="1">
      <alignment horizontal="center" vertical="center"/>
    </xf>
    <xf numFmtId="171" fontId="0" fillId="2" borderId="17" xfId="1" applyNumberFormat="1" applyFont="1" applyFill="1" applyBorder="1" applyAlignment="1">
      <alignment horizontal="center" vertical="center"/>
    </xf>
    <xf numFmtId="171" fontId="0" fillId="2" borderId="7" xfId="1" applyNumberFormat="1" applyFont="1" applyFill="1" applyBorder="1" applyAlignment="1">
      <alignment horizontal="center" vertical="center"/>
    </xf>
    <xf numFmtId="168" fontId="0" fillId="2" borderId="17" xfId="0" applyNumberFormat="1" applyFill="1" applyBorder="1" applyAlignment="1">
      <alignment horizontal="right" vertical="center"/>
    </xf>
    <xf numFmtId="168" fontId="0" fillId="2" borderId="13" xfId="0" applyNumberFormat="1" applyFill="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64" fontId="0" fillId="0" borderId="2" xfId="0" applyNumberFormat="1" applyBorder="1" applyAlignment="1">
      <alignment horizontal="center" vertical="center" textRotation="90"/>
    </xf>
    <xf numFmtId="0" fontId="4" fillId="3" borderId="2" xfId="0" applyFont="1" applyFill="1" applyBorder="1" applyAlignment="1">
      <alignment horizontal="center" vertical="center"/>
    </xf>
    <xf numFmtId="164" fontId="0" fillId="0" borderId="2" xfId="0" applyNumberFormat="1" applyBorder="1" applyAlignment="1">
      <alignment horizontal="right" vertical="center"/>
    </xf>
    <xf numFmtId="164" fontId="0" fillId="0" borderId="2" xfId="0" applyNumberFormat="1" applyBorder="1" applyAlignment="1">
      <alignment horizontal="center" vertical="center" wrapText="1"/>
    </xf>
    <xf numFmtId="164" fontId="0" fillId="0" borderId="2" xfId="0" applyNumberFormat="1" applyBorder="1" applyAlignment="1">
      <alignment horizontal="center" vertical="center"/>
    </xf>
    <xf numFmtId="164" fontId="0" fillId="2" borderId="2" xfId="0" applyNumberFormat="1" applyFill="1" applyBorder="1" applyAlignment="1">
      <alignment horizontal="center" vertical="center"/>
    </xf>
    <xf numFmtId="0" fontId="4" fillId="2" borderId="2"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4" fillId="3" borderId="161" xfId="0" applyFont="1" applyFill="1" applyBorder="1" applyAlignment="1">
      <alignment horizontal="center" vertical="center"/>
    </xf>
    <xf numFmtId="0" fontId="4" fillId="3" borderId="43" xfId="0" applyFont="1" applyFill="1" applyBorder="1" applyAlignment="1">
      <alignment horizontal="center" vertical="center"/>
    </xf>
    <xf numFmtId="168" fontId="3" fillId="2" borderId="2" xfId="1" applyNumberFormat="1"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180" fontId="3" fillId="2" borderId="2" xfId="0" applyNumberFormat="1" applyFont="1" applyFill="1" applyBorder="1" applyAlignment="1">
      <alignment horizontal="center" vertical="center" wrapText="1"/>
    </xf>
    <xf numFmtId="180" fontId="2" fillId="2" borderId="2" xfId="1" applyNumberFormat="1" applyFont="1" applyFill="1" applyBorder="1" applyAlignment="1">
      <alignment horizontal="center" vertical="center"/>
    </xf>
    <xf numFmtId="180" fontId="0" fillId="2" borderId="2" xfId="0" applyNumberFormat="1" applyFill="1" applyBorder="1" applyAlignment="1">
      <alignment horizontal="center" vertical="center" wrapText="1"/>
    </xf>
    <xf numFmtId="177" fontId="6" fillId="2" borderId="2" xfId="0" applyNumberFormat="1"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7" fillId="2" borderId="0" xfId="0" applyFont="1" applyFill="1" applyAlignment="1">
      <alignment horizontal="center" vertical="center"/>
    </xf>
    <xf numFmtId="0" fontId="4" fillId="0" borderId="15"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171" fontId="7" fillId="0" borderId="17" xfId="1" applyNumberFormat="1" applyFont="1" applyBorder="1" applyAlignment="1">
      <alignment horizontal="right" vertical="center" wrapText="1"/>
    </xf>
    <xf numFmtId="171" fontId="7" fillId="0" borderId="7" xfId="1" applyNumberFormat="1" applyFont="1" applyBorder="1" applyAlignment="1">
      <alignment horizontal="right" vertical="center" wrapText="1"/>
    </xf>
    <xf numFmtId="171" fontId="7" fillId="0" borderId="13" xfId="1" applyNumberFormat="1" applyFont="1" applyBorder="1" applyAlignment="1">
      <alignment horizontal="right" vertical="center" wrapText="1"/>
    </xf>
    <xf numFmtId="171" fontId="7" fillId="2" borderId="20" xfId="1" applyNumberFormat="1" applyFont="1" applyFill="1" applyBorder="1" applyAlignment="1">
      <alignment horizontal="right" vertical="center" wrapText="1"/>
    </xf>
    <xf numFmtId="171" fontId="7" fillId="2" borderId="8" xfId="1" applyNumberFormat="1" applyFont="1" applyFill="1" applyBorder="1" applyAlignment="1">
      <alignment horizontal="right" vertical="center" wrapText="1"/>
    </xf>
    <xf numFmtId="171" fontId="7" fillId="2" borderId="21" xfId="1" applyNumberFormat="1" applyFont="1" applyFill="1" applyBorder="1" applyAlignment="1">
      <alignment horizontal="right"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171" fontId="7" fillId="2" borderId="17" xfId="1" applyNumberFormat="1" applyFont="1" applyFill="1" applyBorder="1" applyAlignment="1">
      <alignment horizontal="right" vertical="center" wrapText="1"/>
    </xf>
    <xf numFmtId="171" fontId="7" fillId="2" borderId="7" xfId="1" applyNumberFormat="1" applyFont="1" applyFill="1" applyBorder="1" applyAlignment="1">
      <alignment horizontal="right" vertical="center" wrapText="1"/>
    </xf>
    <xf numFmtId="171" fontId="7" fillId="2" borderId="13" xfId="1" applyNumberFormat="1" applyFont="1" applyFill="1" applyBorder="1" applyAlignment="1">
      <alignment horizontal="right" vertical="center" wrapText="1"/>
    </xf>
    <xf numFmtId="0" fontId="4" fillId="0" borderId="6" xfId="0" applyFont="1" applyBorder="1" applyAlignment="1">
      <alignment horizontal="center" vertical="center"/>
    </xf>
    <xf numFmtId="0" fontId="4" fillId="0" borderId="0" xfId="0" applyFont="1" applyAlignment="1">
      <alignment horizontal="center" vertical="center"/>
    </xf>
    <xf numFmtId="0" fontId="62" fillId="31" borderId="13" xfId="0" applyFont="1" applyFill="1" applyBorder="1" applyAlignment="1">
      <alignment horizontal="center" vertical="center"/>
    </xf>
    <xf numFmtId="0" fontId="3" fillId="0" borderId="2" xfId="0" applyFont="1" applyBorder="1" applyAlignment="1">
      <alignment horizontal="center" vertical="center"/>
    </xf>
    <xf numFmtId="0" fontId="40" fillId="2" borderId="0" xfId="4" applyFont="1" applyFill="1" applyAlignment="1">
      <alignment horizontal="center" vertical="center"/>
    </xf>
    <xf numFmtId="0" fontId="4" fillId="2" borderId="0" xfId="0" applyFont="1" applyFill="1" applyAlignment="1">
      <alignment horizontal="center" vertical="center"/>
    </xf>
    <xf numFmtId="171" fontId="0" fillId="2" borderId="17" xfId="1" applyNumberFormat="1" applyFont="1" applyFill="1" applyBorder="1" applyAlignment="1">
      <alignment horizontal="right" vertical="center"/>
    </xf>
    <xf numFmtId="171" fontId="0" fillId="2" borderId="13" xfId="1" applyNumberFormat="1" applyFont="1" applyFill="1" applyBorder="1" applyAlignment="1">
      <alignment horizontal="right" vertical="center"/>
    </xf>
    <xf numFmtId="171" fontId="4" fillId="2" borderId="174" xfId="1" applyNumberFormat="1" applyFont="1" applyFill="1" applyBorder="1" applyAlignment="1">
      <alignment horizontal="center" vertical="center"/>
    </xf>
    <xf numFmtId="171" fontId="4" fillId="2" borderId="24" xfId="1" applyNumberFormat="1" applyFont="1" applyFill="1" applyBorder="1" applyAlignment="1">
      <alignment horizontal="center" vertical="center"/>
    </xf>
    <xf numFmtId="171" fontId="4" fillId="2" borderId="175" xfId="1" applyNumberFormat="1" applyFont="1" applyFill="1" applyBorder="1" applyAlignment="1">
      <alignment horizontal="center" vertical="center"/>
    </xf>
    <xf numFmtId="171" fontId="4" fillId="3" borderId="42" xfId="1" applyNumberFormat="1" applyFont="1" applyFill="1" applyBorder="1" applyAlignment="1">
      <alignment horizontal="center" vertical="center"/>
    </xf>
    <xf numFmtId="171" fontId="4" fillId="3" borderId="4" xfId="1" applyNumberFormat="1" applyFont="1" applyFill="1" applyBorder="1" applyAlignment="1">
      <alignment horizontal="center" vertical="center"/>
    </xf>
    <xf numFmtId="171" fontId="4" fillId="3" borderId="43" xfId="1" applyNumberFormat="1" applyFont="1" applyFill="1" applyBorder="1" applyAlignment="1">
      <alignment horizontal="center" vertical="center"/>
    </xf>
    <xf numFmtId="0" fontId="0" fillId="2" borderId="176" xfId="0" applyFill="1" applyBorder="1" applyAlignment="1">
      <alignment horizontal="center" vertical="center"/>
    </xf>
    <xf numFmtId="0" fontId="0" fillId="2" borderId="18" xfId="0" applyFill="1" applyBorder="1" applyAlignment="1">
      <alignment horizontal="center" vertical="center"/>
    </xf>
    <xf numFmtId="0" fontId="0" fillId="2" borderId="173" xfId="0" applyFill="1" applyBorder="1" applyAlignment="1">
      <alignment horizontal="center" vertical="center"/>
    </xf>
    <xf numFmtId="0" fontId="4" fillId="2" borderId="6"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176" fontId="3" fillId="2" borderId="3" xfId="1" applyNumberFormat="1" applyFont="1" applyFill="1" applyBorder="1" applyAlignment="1">
      <alignment horizontal="center" vertical="center" wrapText="1"/>
    </xf>
    <xf numFmtId="176" fontId="3" fillId="2" borderId="5" xfId="1" applyNumberFormat="1"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171" fontId="3" fillId="2" borderId="10" xfId="1" applyNumberFormat="1" applyFont="1" applyFill="1" applyBorder="1" applyAlignment="1">
      <alignment horizontal="center" vertical="center"/>
    </xf>
    <xf numFmtId="171" fontId="3" fillId="2" borderId="190" xfId="1" applyNumberFormat="1" applyFont="1" applyFill="1" applyBorder="1" applyAlignment="1">
      <alignment horizontal="center" vertical="center"/>
    </xf>
    <xf numFmtId="0" fontId="39" fillId="2" borderId="29" xfId="4" applyFont="1" applyFill="1" applyBorder="1" applyAlignment="1">
      <alignment horizontal="center" vertical="center"/>
    </xf>
    <xf numFmtId="179" fontId="7" fillId="2" borderId="61" xfId="1" applyNumberFormat="1" applyFont="1" applyFill="1" applyBorder="1" applyAlignment="1">
      <alignment horizontal="right" vertical="center"/>
    </xf>
    <xf numFmtId="179" fontId="7" fillId="2" borderId="36" xfId="1" applyNumberFormat="1" applyFont="1" applyFill="1" applyBorder="1" applyAlignment="1">
      <alignment horizontal="right" vertical="center"/>
    </xf>
    <xf numFmtId="179" fontId="7" fillId="2" borderId="115" xfId="1" applyNumberFormat="1" applyFont="1" applyFill="1" applyBorder="1" applyAlignment="1">
      <alignment horizontal="right" vertical="center"/>
    </xf>
    <xf numFmtId="179" fontId="7" fillId="2" borderId="52" xfId="1" applyNumberFormat="1" applyFont="1" applyFill="1" applyBorder="1" applyAlignment="1">
      <alignment vertical="center"/>
    </xf>
    <xf numFmtId="179" fontId="7" fillId="2" borderId="65" xfId="1" applyNumberFormat="1" applyFont="1" applyFill="1" applyBorder="1" applyAlignment="1">
      <alignment vertical="center"/>
    </xf>
    <xf numFmtId="179" fontId="7" fillId="2" borderId="112" xfId="1" applyNumberFormat="1" applyFont="1" applyFill="1" applyBorder="1" applyAlignment="1">
      <alignment vertical="center"/>
    </xf>
    <xf numFmtId="179" fontId="7" fillId="7" borderId="179" xfId="1" applyNumberFormat="1" applyFont="1" applyFill="1" applyBorder="1" applyAlignment="1">
      <alignment vertical="center"/>
    </xf>
    <xf numFmtId="179" fontId="7" fillId="7" borderId="183" xfId="1" applyNumberFormat="1" applyFont="1" applyFill="1" applyBorder="1" applyAlignment="1">
      <alignment vertical="center"/>
    </xf>
    <xf numFmtId="179" fontId="7" fillId="7" borderId="185" xfId="1" applyNumberFormat="1" applyFont="1" applyFill="1" applyBorder="1" applyAlignment="1">
      <alignment vertical="center"/>
    </xf>
    <xf numFmtId="0" fontId="8" fillId="2" borderId="2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71" fontId="0" fillId="2" borderId="15" xfId="1" applyNumberFormat="1" applyFont="1" applyFill="1" applyBorder="1" applyAlignment="1">
      <alignment horizontal="right" vertical="center"/>
    </xf>
    <xf numFmtId="171" fontId="0" fillId="2" borderId="14" xfId="1" applyNumberFormat="1" applyFont="1" applyFill="1" applyBorder="1" applyAlignment="1">
      <alignment horizontal="right" vertical="center"/>
    </xf>
    <xf numFmtId="171" fontId="0" fillId="2" borderId="7" xfId="1" applyNumberFormat="1" applyFont="1" applyFill="1" applyBorder="1" applyAlignment="1">
      <alignment horizontal="right" vertical="center"/>
    </xf>
    <xf numFmtId="171" fontId="0" fillId="2" borderId="103" xfId="1" applyNumberFormat="1" applyFont="1" applyFill="1" applyBorder="1" applyAlignment="1">
      <alignment horizontal="right" vertical="center"/>
    </xf>
    <xf numFmtId="171" fontId="0" fillId="2" borderId="103" xfId="1" applyNumberFormat="1" applyFont="1" applyFill="1" applyBorder="1" applyAlignment="1">
      <alignment horizontal="center" vertical="center"/>
    </xf>
    <xf numFmtId="0" fontId="3" fillId="2" borderId="178" xfId="0" applyFont="1" applyFill="1" applyBorder="1" applyAlignment="1">
      <alignment horizontal="center" vertical="center" wrapText="1"/>
    </xf>
    <xf numFmtId="166" fontId="3" fillId="3" borderId="14" xfId="1" applyFont="1" applyFill="1" applyBorder="1" applyAlignment="1">
      <alignment horizontal="center" vertical="center" wrapText="1"/>
    </xf>
    <xf numFmtId="166" fontId="3" fillId="3" borderId="1" xfId="1"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39" fillId="2" borderId="6" xfId="4" applyFont="1" applyFill="1" applyBorder="1" applyAlignment="1">
      <alignment horizontal="center" vertical="center"/>
    </xf>
    <xf numFmtId="0" fontId="6" fillId="0" borderId="2" xfId="0" applyFont="1" applyBorder="1" applyAlignment="1">
      <alignment horizontal="center" vertical="center"/>
    </xf>
    <xf numFmtId="0" fontId="4" fillId="3" borderId="2" xfId="0" applyFont="1" applyFill="1" applyBorder="1" applyAlignment="1">
      <alignment horizontal="center" vertical="center" wrapText="1"/>
    </xf>
    <xf numFmtId="0" fontId="46" fillId="25" borderId="2" xfId="0" applyFont="1" applyFill="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4" fillId="0" borderId="2" xfId="0" applyFont="1" applyBorder="1" applyAlignment="1">
      <alignment horizontal="center"/>
    </xf>
    <xf numFmtId="0" fontId="8" fillId="0" borderId="2" xfId="0" applyFont="1" applyBorder="1" applyAlignment="1">
      <alignment horizontal="center"/>
    </xf>
    <xf numFmtId="0" fontId="4" fillId="3" borderId="2" xfId="0" applyFont="1" applyFill="1" applyBorder="1" applyAlignment="1">
      <alignment horizontal="center"/>
    </xf>
    <xf numFmtId="0" fontId="4" fillId="0" borderId="5" xfId="0" applyFont="1" applyBorder="1" applyAlignment="1">
      <alignment horizontal="center" vertical="center" wrapText="1"/>
    </xf>
    <xf numFmtId="165" fontId="8" fillId="11" borderId="3" xfId="0" applyNumberFormat="1" applyFont="1" applyFill="1" applyBorder="1" applyAlignment="1">
      <alignment horizontal="center" vertical="center"/>
    </xf>
    <xf numFmtId="165" fontId="8" fillId="11" borderId="4" xfId="0" applyNumberFormat="1" applyFont="1" applyFill="1" applyBorder="1" applyAlignment="1">
      <alignment horizontal="center" vertical="center"/>
    </xf>
    <xf numFmtId="165" fontId="8" fillId="11" borderId="5" xfId="0" applyNumberFormat="1" applyFont="1" applyFill="1" applyBorder="1" applyAlignment="1">
      <alignment horizontal="center" vertical="center"/>
    </xf>
    <xf numFmtId="179" fontId="7" fillId="2" borderId="2" xfId="0" applyNumberFormat="1" applyFont="1" applyFill="1" applyBorder="1" applyAlignment="1">
      <alignment horizontal="center" vertical="center" textRotation="90" wrapText="1"/>
    </xf>
    <xf numFmtId="179" fontId="7" fillId="2" borderId="17" xfId="0" applyNumberFormat="1" applyFont="1" applyFill="1" applyBorder="1" applyAlignment="1">
      <alignment horizontal="right" vertical="center"/>
    </xf>
    <xf numFmtId="179" fontId="7" fillId="2" borderId="7" xfId="0" applyNumberFormat="1" applyFont="1" applyFill="1" applyBorder="1" applyAlignment="1">
      <alignment horizontal="right" vertical="center"/>
    </xf>
    <xf numFmtId="179" fontId="7" fillId="2" borderId="13" xfId="0" applyNumberFormat="1" applyFont="1" applyFill="1" applyBorder="1" applyAlignment="1">
      <alignment horizontal="right" vertical="center"/>
    </xf>
    <xf numFmtId="0" fontId="7" fillId="5" borderId="2" xfId="0"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179" fontId="16" fillId="2" borderId="2" xfId="0" applyNumberFormat="1" applyFont="1" applyFill="1" applyBorder="1" applyAlignment="1">
      <alignment horizontal="right" vertical="center"/>
    </xf>
    <xf numFmtId="0" fontId="4" fillId="3" borderId="3" xfId="1" applyNumberFormat="1" applyFont="1" applyFill="1" applyBorder="1" applyAlignment="1">
      <alignment horizontal="center" vertical="center" wrapText="1"/>
    </xf>
    <xf numFmtId="0" fontId="4" fillId="3" borderId="4" xfId="1" applyNumberFormat="1" applyFont="1" applyFill="1" applyBorder="1" applyAlignment="1">
      <alignment horizontal="center" vertical="center" wrapText="1"/>
    </xf>
    <xf numFmtId="0" fontId="4" fillId="3" borderId="5" xfId="1" applyNumberFormat="1" applyFont="1" applyFill="1" applyBorder="1" applyAlignment="1">
      <alignment horizontal="center" vertical="center" wrapText="1"/>
    </xf>
    <xf numFmtId="0" fontId="6" fillId="0" borderId="2" xfId="0" applyFont="1" applyBorder="1" applyAlignment="1">
      <alignment horizontal="center"/>
    </xf>
    <xf numFmtId="179" fontId="16" fillId="0" borderId="2" xfId="1" applyNumberFormat="1" applyFont="1" applyBorder="1" applyAlignment="1">
      <alignment horizontal="right" vertical="center"/>
    </xf>
    <xf numFmtId="179" fontId="16" fillId="2" borderId="2" xfId="1" applyNumberFormat="1" applyFont="1" applyFill="1" applyBorder="1" applyAlignment="1">
      <alignment horizontal="right" vertical="center"/>
    </xf>
    <xf numFmtId="0" fontId="4" fillId="3" borderId="2" xfId="1" applyNumberFormat="1" applyFont="1" applyFill="1" applyBorder="1" applyAlignment="1">
      <alignment horizontal="center" vertical="center"/>
    </xf>
    <xf numFmtId="0" fontId="6" fillId="2" borderId="2" xfId="0" applyFont="1" applyFill="1" applyBorder="1" applyAlignment="1">
      <alignment horizontal="center" vertical="center"/>
    </xf>
    <xf numFmtId="164" fontId="3" fillId="0" borderId="17" xfId="0" applyNumberFormat="1" applyFont="1" applyBorder="1" applyAlignment="1">
      <alignment horizontal="right" vertical="center"/>
    </xf>
    <xf numFmtId="164" fontId="3" fillId="0" borderId="7" xfId="0" applyNumberFormat="1" applyFont="1" applyBorder="1" applyAlignment="1">
      <alignment horizontal="righ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171" fontId="0" fillId="2" borderId="17" xfId="0" applyNumberFormat="1" applyFill="1" applyBorder="1" applyAlignment="1">
      <alignment horizontal="right" vertical="center"/>
    </xf>
    <xf numFmtId="171" fontId="0" fillId="2" borderId="7" xfId="0" applyNumberFormat="1" applyFill="1" applyBorder="1" applyAlignment="1">
      <alignment horizontal="right" vertical="center"/>
    </xf>
    <xf numFmtId="164" fontId="3" fillId="2" borderId="17" xfId="0" applyNumberFormat="1" applyFont="1" applyFill="1" applyBorder="1" applyAlignment="1">
      <alignment horizontal="right" vertical="center"/>
    </xf>
    <xf numFmtId="164" fontId="3" fillId="2" borderId="7" xfId="0" applyNumberFormat="1" applyFont="1" applyFill="1" applyBorder="1" applyAlignment="1">
      <alignment horizontal="right" vertical="center"/>
    </xf>
    <xf numFmtId="176" fontId="0" fillId="2" borderId="2" xfId="0" applyNumberFormat="1" applyFill="1" applyBorder="1" applyAlignment="1">
      <alignment horizontal="right" vertical="center"/>
    </xf>
    <xf numFmtId="0" fontId="16" fillId="3" borderId="2" xfId="0" applyFont="1" applyFill="1" applyBorder="1" applyAlignment="1">
      <alignment horizontal="center" vertical="center" wrapText="1"/>
    </xf>
    <xf numFmtId="0" fontId="4" fillId="0" borderId="2" xfId="0" applyFont="1" applyBorder="1" applyAlignment="1">
      <alignment horizontal="center" vertical="center"/>
    </xf>
    <xf numFmtId="0" fontId="3" fillId="2" borderId="80" xfId="0" applyFont="1" applyFill="1" applyBorder="1" applyAlignment="1">
      <alignment horizontal="right" vertical="center"/>
    </xf>
    <xf numFmtId="0" fontId="3" fillId="2" borderId="81" xfId="0" applyFont="1" applyFill="1" applyBorder="1" applyAlignment="1">
      <alignment horizontal="right"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166" fontId="4" fillId="2" borderId="18" xfId="1" applyFont="1" applyFill="1" applyBorder="1" applyAlignment="1">
      <alignment horizontal="center" vertical="center" textRotation="90"/>
    </xf>
    <xf numFmtId="166" fontId="4" fillId="2" borderId="0" xfId="1" applyFont="1" applyFill="1" applyBorder="1" applyAlignment="1">
      <alignment horizontal="center" vertical="center" textRotation="90"/>
    </xf>
    <xf numFmtId="166" fontId="4" fillId="2" borderId="110" xfId="1" applyFont="1" applyFill="1" applyBorder="1" applyAlignment="1">
      <alignment horizontal="center" vertical="center" textRotation="90"/>
    </xf>
    <xf numFmtId="166" fontId="4" fillId="2" borderId="15" xfId="1" applyFont="1" applyFill="1" applyBorder="1" applyAlignment="1">
      <alignment horizontal="center" vertical="center" textRotation="90"/>
    </xf>
    <xf numFmtId="166" fontId="4" fillId="2" borderId="20" xfId="1" applyFont="1" applyFill="1" applyBorder="1" applyAlignment="1">
      <alignment horizontal="center" vertical="center" textRotation="90"/>
    </xf>
    <xf numFmtId="166" fontId="4" fillId="2" borderId="6" xfId="1" applyFont="1" applyFill="1" applyBorder="1" applyAlignment="1">
      <alignment horizontal="center" vertical="center" textRotation="90"/>
    </xf>
    <xf numFmtId="166" fontId="4" fillId="2" borderId="8" xfId="1" applyFont="1" applyFill="1" applyBorder="1" applyAlignment="1">
      <alignment horizontal="center" vertical="center" textRotation="90"/>
    </xf>
    <xf numFmtId="166" fontId="4" fillId="2" borderId="85" xfId="1" applyFont="1" applyFill="1" applyBorder="1" applyAlignment="1">
      <alignment horizontal="center" vertical="center" textRotation="90"/>
    </xf>
    <xf numFmtId="166" fontId="4" fillId="2" borderId="121" xfId="1" applyFont="1" applyFill="1" applyBorder="1" applyAlignment="1">
      <alignment horizontal="center" vertical="center" textRotation="90"/>
    </xf>
    <xf numFmtId="0" fontId="3" fillId="2" borderId="9" xfId="0" applyFont="1" applyFill="1" applyBorder="1" applyAlignment="1">
      <alignment horizontal="right" vertical="center"/>
    </xf>
    <xf numFmtId="166" fontId="0" fillId="2" borderId="17" xfId="1" applyFont="1" applyFill="1" applyBorder="1" applyAlignment="1">
      <alignment horizontal="center" vertical="center" wrapText="1"/>
    </xf>
    <xf numFmtId="166" fontId="0" fillId="2" borderId="7" xfId="1" applyFont="1" applyFill="1" applyBorder="1" applyAlignment="1">
      <alignment horizontal="center" vertical="center" wrapText="1"/>
    </xf>
    <xf numFmtId="166" fontId="3" fillId="2" borderId="17" xfId="1" applyFont="1" applyFill="1" applyBorder="1" applyAlignment="1">
      <alignment horizontal="center" vertical="center" wrapText="1"/>
    </xf>
    <xf numFmtId="166" fontId="3" fillId="2" borderId="7" xfId="1" applyFont="1" applyFill="1" applyBorder="1" applyAlignment="1">
      <alignment horizontal="center" vertical="center" wrapText="1"/>
    </xf>
    <xf numFmtId="166" fontId="3" fillId="2" borderId="27" xfId="1" applyFont="1" applyFill="1" applyBorder="1" applyAlignment="1">
      <alignment horizontal="center" vertical="center" wrapText="1"/>
    </xf>
    <xf numFmtId="166" fontId="3" fillId="2" borderId="82" xfId="1" applyFont="1" applyFill="1" applyBorder="1" applyAlignment="1">
      <alignment horizontal="center" vertical="center" wrapText="1"/>
    </xf>
    <xf numFmtId="166" fontId="0" fillId="2" borderId="7" xfId="1" applyFont="1" applyFill="1" applyBorder="1" applyAlignment="1">
      <alignment horizontal="center" vertical="center"/>
    </xf>
    <xf numFmtId="166" fontId="0" fillId="2" borderId="82" xfId="1" applyFont="1" applyFill="1" applyBorder="1" applyAlignment="1">
      <alignment horizontal="center" vertical="center" wrapText="1"/>
    </xf>
    <xf numFmtId="166" fontId="0" fillId="2" borderId="27" xfId="1" applyFont="1" applyFill="1" applyBorder="1" applyAlignment="1">
      <alignment horizontal="center" vertical="center" wrapText="1"/>
    </xf>
    <xf numFmtId="0" fontId="4" fillId="3" borderId="13"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164" fontId="0" fillId="0" borderId="17" xfId="0" applyNumberFormat="1" applyBorder="1" applyAlignment="1">
      <alignment horizontal="right" vertical="center"/>
    </xf>
    <xf numFmtId="164" fontId="0" fillId="0" borderId="7" xfId="0" applyNumberFormat="1" applyBorder="1" applyAlignment="1">
      <alignment horizontal="right" vertical="center"/>
    </xf>
    <xf numFmtId="164" fontId="0" fillId="0" borderId="13" xfId="0" applyNumberFormat="1" applyBorder="1" applyAlignment="1">
      <alignment horizontal="right" vertical="center"/>
    </xf>
    <xf numFmtId="164" fontId="0" fillId="0" borderId="15"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6"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8"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1"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15" fillId="2" borderId="17" xfId="0" applyNumberFormat="1" applyFont="1" applyFill="1" applyBorder="1" applyAlignment="1">
      <alignment horizontal="right" vertical="center"/>
    </xf>
    <xf numFmtId="164" fontId="15" fillId="2" borderId="7" xfId="0" applyNumberFormat="1" applyFont="1" applyFill="1" applyBorder="1" applyAlignment="1">
      <alignment horizontal="right" vertical="center"/>
    </xf>
    <xf numFmtId="164" fontId="15" fillId="2" borderId="13" xfId="0" applyNumberFormat="1" applyFont="1" applyFill="1" applyBorder="1" applyAlignment="1">
      <alignment horizontal="right" vertical="center"/>
    </xf>
    <xf numFmtId="0" fontId="0" fillId="2" borderId="17"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17" xfId="0" applyBorder="1" applyAlignment="1">
      <alignment horizontal="center" vertical="center" wrapText="1"/>
    </xf>
    <xf numFmtId="0" fontId="0" fillId="0" borderId="7" xfId="0" applyBorder="1" applyAlignment="1">
      <alignment horizontal="center" vertical="center" wrapText="1"/>
    </xf>
    <xf numFmtId="0" fontId="0" fillId="0" borderId="19" xfId="0"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9" xfId="0" applyFont="1" applyFill="1" applyBorder="1" applyAlignment="1">
      <alignment horizontal="center" vertical="center" wrapText="1"/>
    </xf>
    <xf numFmtId="164" fontId="0" fillId="0" borderId="17" xfId="0" applyNumberFormat="1" applyBorder="1" applyAlignment="1">
      <alignment horizontal="right" vertical="center" wrapText="1"/>
    </xf>
    <xf numFmtId="164" fontId="0" fillId="0" borderId="7" xfId="0" applyNumberFormat="1" applyBorder="1" applyAlignment="1">
      <alignment horizontal="right" vertical="center" wrapText="1"/>
    </xf>
    <xf numFmtId="164" fontId="0" fillId="0" borderId="13" xfId="0" applyNumberFormat="1" applyBorder="1" applyAlignment="1">
      <alignment horizontal="right" vertical="center" wrapText="1"/>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164" fontId="0" fillId="2" borderId="17" xfId="0" applyNumberFormat="1" applyFill="1" applyBorder="1" applyAlignment="1">
      <alignment horizontal="right" vertical="center"/>
    </xf>
    <xf numFmtId="164" fontId="0" fillId="2" borderId="7" xfId="0" applyNumberFormat="1" applyFill="1" applyBorder="1" applyAlignment="1">
      <alignment horizontal="right" vertical="center"/>
    </xf>
    <xf numFmtId="164" fontId="0" fillId="2" borderId="13" xfId="0" applyNumberFormat="1" applyFill="1" applyBorder="1" applyAlignment="1">
      <alignment horizontal="right" vertical="center"/>
    </xf>
    <xf numFmtId="164" fontId="0" fillId="4" borderId="15" xfId="0" applyNumberFormat="1" applyFill="1" applyBorder="1" applyAlignment="1">
      <alignment horizontal="center" vertical="center"/>
    </xf>
    <xf numFmtId="164" fontId="0" fillId="4" borderId="18" xfId="0" applyNumberFormat="1" applyFill="1" applyBorder="1" applyAlignment="1">
      <alignment horizontal="center" vertical="center"/>
    </xf>
    <xf numFmtId="164" fontId="0" fillId="4" borderId="6" xfId="0" applyNumberFormat="1" applyFill="1" applyBorder="1" applyAlignment="1">
      <alignment horizontal="center" vertical="center"/>
    </xf>
    <xf numFmtId="164" fontId="0" fillId="4" borderId="0" xfId="0" applyNumberFormat="1" applyFill="1" applyAlignment="1">
      <alignment horizontal="center" vertical="center"/>
    </xf>
    <xf numFmtId="164" fontId="0" fillId="4" borderId="14"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3" fillId="2" borderId="2" xfId="1" applyNumberFormat="1" applyFont="1" applyFill="1" applyBorder="1" applyAlignment="1">
      <alignment horizontal="center" vertical="center" wrapText="1"/>
    </xf>
    <xf numFmtId="177" fontId="6" fillId="0" borderId="2" xfId="0" applyNumberFormat="1" applyFont="1" applyBorder="1" applyAlignment="1">
      <alignment horizontal="center" vertical="center"/>
    </xf>
    <xf numFmtId="0" fontId="4" fillId="2" borderId="2" xfId="0" applyFont="1" applyFill="1" applyBorder="1" applyAlignment="1">
      <alignment horizontal="center"/>
    </xf>
    <xf numFmtId="0" fontId="6" fillId="3" borderId="2" xfId="0" applyFont="1" applyFill="1" applyBorder="1" applyAlignment="1">
      <alignment horizontal="center" vertical="center"/>
    </xf>
    <xf numFmtId="0" fontId="6" fillId="2" borderId="2" xfId="4" applyFont="1" applyFill="1" applyBorder="1" applyAlignment="1">
      <alignment horizontal="center" vertical="center"/>
    </xf>
    <xf numFmtId="179" fontId="8" fillId="0" borderId="2" xfId="1" applyNumberFormat="1" applyFont="1" applyBorder="1" applyAlignment="1">
      <alignment horizontal="right" vertical="center"/>
    </xf>
    <xf numFmtId="0" fontId="62" fillId="31" borderId="2" xfId="0" applyFont="1" applyFill="1" applyBorder="1" applyAlignment="1">
      <alignment horizontal="center" vertical="center" wrapText="1"/>
    </xf>
    <xf numFmtId="0" fontId="4" fillId="27" borderId="2" xfId="0" applyFont="1" applyFill="1" applyBorder="1" applyAlignment="1">
      <alignment horizontal="center" vertical="center" wrapText="1"/>
    </xf>
    <xf numFmtId="14" fontId="4" fillId="0" borderId="15" xfId="0" applyNumberFormat="1" applyFont="1" applyBorder="1" applyAlignment="1">
      <alignment horizontal="center" vertical="center"/>
    </xf>
    <xf numFmtId="14" fontId="4" fillId="0" borderId="18" xfId="0" applyNumberFormat="1" applyFont="1" applyBorder="1" applyAlignment="1">
      <alignment horizontal="center" vertical="center"/>
    </xf>
    <xf numFmtId="14" fontId="4" fillId="0" borderId="20" xfId="0" applyNumberFormat="1" applyFont="1" applyBorder="1" applyAlignment="1">
      <alignment horizontal="center" vertical="center"/>
    </xf>
    <xf numFmtId="181" fontId="3" fillId="0" borderId="23" xfId="1" applyNumberFormat="1" applyFont="1" applyBorder="1" applyAlignment="1">
      <alignment horizontal="center" vertical="center" wrapText="1"/>
    </xf>
    <xf numFmtId="181" fontId="3" fillId="0" borderId="3" xfId="1" applyNumberFormat="1" applyFont="1" applyBorder="1" applyAlignment="1">
      <alignment horizontal="center" vertical="center" wrapText="1"/>
    </xf>
    <xf numFmtId="181" fontId="3" fillId="0" borderId="91" xfId="1" applyNumberFormat="1" applyFont="1" applyBorder="1" applyAlignment="1">
      <alignment horizontal="center" vertical="center"/>
    </xf>
    <xf numFmtId="181" fontId="3" fillId="0" borderId="57" xfId="1" applyNumberFormat="1" applyFont="1" applyBorder="1" applyAlignment="1">
      <alignment horizontal="center" vertical="center"/>
    </xf>
    <xf numFmtId="181" fontId="3" fillId="0" borderId="23" xfId="1" applyNumberFormat="1" applyFont="1" applyBorder="1" applyAlignment="1">
      <alignment horizontal="center" vertical="center"/>
    </xf>
    <xf numFmtId="181" fontId="3" fillId="0" borderId="2" xfId="1" applyNumberFormat="1" applyFont="1" applyBorder="1" applyAlignment="1">
      <alignment horizontal="center" vertical="center"/>
    </xf>
    <xf numFmtId="0" fontId="4" fillId="0" borderId="42" xfId="1" applyNumberFormat="1" applyFont="1" applyBorder="1" applyAlignment="1">
      <alignment horizontal="center" vertical="center"/>
    </xf>
    <xf numFmtId="0" fontId="4" fillId="0" borderId="43" xfId="1" applyNumberFormat="1" applyFont="1" applyBorder="1" applyAlignment="1">
      <alignment horizontal="center" vertical="center"/>
    </xf>
    <xf numFmtId="181" fontId="3" fillId="0" borderId="44" xfId="1" applyNumberFormat="1" applyFont="1" applyBorder="1" applyAlignment="1">
      <alignment horizontal="center" vertical="center"/>
    </xf>
    <xf numFmtId="181" fontId="3" fillId="0" borderId="92" xfId="1" applyNumberFormat="1" applyFont="1" applyBorder="1" applyAlignment="1">
      <alignment horizontal="center" vertical="center"/>
    </xf>
    <xf numFmtId="181" fontId="3" fillId="2" borderId="23" xfId="1" applyNumberFormat="1" applyFont="1" applyFill="1" applyBorder="1" applyAlignment="1">
      <alignment horizontal="center" vertical="center"/>
    </xf>
    <xf numFmtId="181" fontId="3" fillId="2" borderId="2" xfId="1" applyNumberFormat="1" applyFont="1" applyFill="1" applyBorder="1" applyAlignment="1">
      <alignment horizontal="center" vertical="center"/>
    </xf>
    <xf numFmtId="181" fontId="3" fillId="2" borderId="91" xfId="1" applyNumberFormat="1" applyFont="1" applyFill="1" applyBorder="1" applyAlignment="1">
      <alignment horizontal="center" vertical="center"/>
    </xf>
    <xf numFmtId="181" fontId="3" fillId="2" borderId="57" xfId="1" applyNumberFormat="1" applyFont="1" applyFill="1" applyBorder="1" applyAlignment="1">
      <alignment horizontal="center" vertical="center"/>
    </xf>
    <xf numFmtId="179" fontId="0" fillId="2" borderId="44" xfId="1" applyNumberFormat="1" applyFont="1" applyFill="1" applyBorder="1" applyAlignment="1">
      <alignment vertical="center"/>
    </xf>
    <xf numFmtId="0" fontId="62" fillId="31" borderId="42" xfId="0" applyFont="1" applyFill="1" applyBorder="1" applyAlignment="1">
      <alignment horizontal="center" vertical="center"/>
    </xf>
    <xf numFmtId="0" fontId="62" fillId="31" borderId="5" xfId="0" applyFont="1" applyFill="1" applyBorder="1" applyAlignment="1">
      <alignment horizontal="center" vertical="center"/>
    </xf>
    <xf numFmtId="0" fontId="4" fillId="2" borderId="42" xfId="1" applyNumberFormat="1" applyFont="1" applyFill="1" applyBorder="1" applyAlignment="1">
      <alignment horizontal="center" vertical="center"/>
    </xf>
    <xf numFmtId="0" fontId="4" fillId="2" borderId="43" xfId="1" applyNumberFormat="1" applyFont="1" applyFill="1" applyBorder="1" applyAlignment="1">
      <alignment horizontal="center" vertical="center"/>
    </xf>
    <xf numFmtId="0" fontId="4" fillId="0" borderId="23" xfId="1" applyNumberFormat="1" applyFont="1" applyBorder="1" applyAlignment="1">
      <alignment horizontal="center" vertical="center"/>
    </xf>
    <xf numFmtId="0" fontId="4" fillId="0" borderId="44" xfId="1" applyNumberFormat="1" applyFont="1" applyBorder="1" applyAlignment="1">
      <alignment horizontal="center" vertical="center"/>
    </xf>
    <xf numFmtId="181" fontId="3" fillId="2" borderId="44" xfId="1" applyNumberFormat="1" applyFont="1" applyFill="1" applyBorder="1" applyAlignment="1">
      <alignment horizontal="center" vertical="center"/>
    </xf>
    <xf numFmtId="181" fontId="3" fillId="2" borderId="92" xfId="1" applyNumberFormat="1" applyFont="1" applyFill="1" applyBorder="1" applyAlignment="1">
      <alignment horizontal="center" vertical="center"/>
    </xf>
    <xf numFmtId="0" fontId="4" fillId="3" borderId="42" xfId="0" applyFont="1" applyFill="1" applyBorder="1" applyAlignment="1">
      <alignment horizontal="center" vertical="center"/>
    </xf>
    <xf numFmtId="0" fontId="4" fillId="0" borderId="2" xfId="1" applyNumberFormat="1" applyFont="1" applyBorder="1" applyAlignment="1">
      <alignment horizontal="center" vertical="center"/>
    </xf>
    <xf numFmtId="181" fontId="3" fillId="21" borderId="23" xfId="1" applyNumberFormat="1" applyFont="1" applyFill="1" applyBorder="1" applyAlignment="1">
      <alignment horizontal="center" vertical="center"/>
    </xf>
    <xf numFmtId="181" fontId="3" fillId="21" borderId="2" xfId="1" applyNumberFormat="1" applyFont="1" applyFill="1" applyBorder="1" applyAlignment="1">
      <alignment horizontal="center" vertical="center"/>
    </xf>
    <xf numFmtId="181" fontId="3" fillId="21" borderId="91" xfId="1" applyNumberFormat="1" applyFont="1" applyFill="1" applyBorder="1" applyAlignment="1">
      <alignment horizontal="center" vertical="center"/>
    </xf>
    <xf numFmtId="181" fontId="3" fillId="21" borderId="57" xfId="1" applyNumberFormat="1" applyFont="1" applyFill="1" applyBorder="1" applyAlignment="1">
      <alignment horizontal="center" vertical="center"/>
    </xf>
    <xf numFmtId="181" fontId="3" fillId="2" borderId="3" xfId="1" applyNumberFormat="1" applyFont="1" applyFill="1" applyBorder="1" applyAlignment="1">
      <alignment horizontal="center" vertical="center"/>
    </xf>
    <xf numFmtId="181" fontId="3" fillId="2" borderId="38" xfId="1" applyNumberFormat="1" applyFont="1" applyFill="1" applyBorder="1" applyAlignment="1">
      <alignment horizontal="center" vertical="center"/>
    </xf>
    <xf numFmtId="179" fontId="0" fillId="2" borderId="17" xfId="1" applyNumberFormat="1" applyFont="1" applyFill="1" applyBorder="1" applyAlignment="1">
      <alignment horizontal="right" vertical="center"/>
    </xf>
    <xf numFmtId="179" fontId="0" fillId="2" borderId="13" xfId="1" applyNumberFormat="1" applyFont="1" applyFill="1" applyBorder="1" applyAlignment="1">
      <alignment horizontal="right" vertical="center"/>
    </xf>
    <xf numFmtId="0" fontId="3" fillId="2" borderId="2" xfId="1" applyNumberFormat="1" applyFont="1" applyFill="1" applyBorder="1" applyAlignment="1">
      <alignment horizontal="center" vertical="center"/>
    </xf>
    <xf numFmtId="179" fontId="0" fillId="2" borderId="2" xfId="1" applyNumberFormat="1" applyFont="1" applyFill="1" applyBorder="1" applyAlignment="1">
      <alignment horizontal="right" vertical="center"/>
    </xf>
    <xf numFmtId="179" fontId="3" fillId="2" borderId="2" xfId="1" applyNumberFormat="1" applyFont="1" applyFill="1" applyBorder="1" applyAlignment="1">
      <alignment horizontal="center" vertical="center"/>
    </xf>
    <xf numFmtId="164" fontId="3" fillId="0" borderId="2"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0" fillId="0" borderId="2" xfId="0" applyBorder="1" applyAlignment="1">
      <alignment horizontal="center" vertical="center" wrapText="1"/>
    </xf>
    <xf numFmtId="0" fontId="3" fillId="3" borderId="2" xfId="0" applyFont="1" applyFill="1" applyBorder="1" applyAlignment="1">
      <alignment horizontal="center" vertical="center" wrapText="1"/>
    </xf>
    <xf numFmtId="0" fontId="10" fillId="0" borderId="2" xfId="0" applyFont="1" applyBorder="1" applyAlignment="1">
      <alignment horizontal="center" vertical="center" wrapText="1"/>
    </xf>
    <xf numFmtId="179" fontId="9" fillId="2" borderId="2" xfId="0" applyNumberFormat="1" applyFont="1" applyFill="1" applyBorder="1" applyAlignment="1">
      <alignment horizontal="center" vertical="center" wrapText="1"/>
    </xf>
    <xf numFmtId="0" fontId="11" fillId="27"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39" fillId="2" borderId="1" xfId="4" applyFont="1" applyFill="1" applyBorder="1" applyAlignment="1">
      <alignment horizontal="center" vertical="center"/>
    </xf>
    <xf numFmtId="0" fontId="4" fillId="27" borderId="2" xfId="0" applyFont="1" applyFill="1" applyBorder="1" applyAlignment="1">
      <alignment horizontal="center"/>
    </xf>
    <xf numFmtId="179" fontId="0" fillId="2" borderId="2" xfId="0" applyNumberFormat="1" applyFill="1" applyBorder="1" applyAlignment="1">
      <alignment horizontal="right" vertical="center"/>
    </xf>
    <xf numFmtId="179" fontId="0" fillId="2" borderId="2" xfId="0" applyNumberFormat="1" applyFill="1" applyBorder="1" applyAlignment="1">
      <alignment horizontal="center" vertical="center"/>
    </xf>
    <xf numFmtId="0" fontId="3" fillId="2" borderId="2" xfId="0" applyFont="1" applyFill="1" applyBorder="1" applyAlignment="1">
      <alignment horizontal="center" vertical="center"/>
    </xf>
    <xf numFmtId="0" fontId="4" fillId="27" borderId="2" xfId="0" applyFont="1" applyFill="1" applyBorder="1" applyAlignment="1">
      <alignment horizontal="center" vertical="center"/>
    </xf>
    <xf numFmtId="0" fontId="3" fillId="0" borderId="2" xfId="0" applyFont="1" applyBorder="1" applyAlignment="1">
      <alignment horizontal="center" vertical="center" wrapText="1"/>
    </xf>
    <xf numFmtId="164" fontId="0" fillId="2" borderId="6" xfId="0" applyNumberFormat="1" applyFill="1" applyBorder="1" applyAlignment="1">
      <alignment horizontal="center" vertical="center"/>
    </xf>
    <xf numFmtId="179" fontId="0" fillId="2" borderId="17" xfId="0" applyNumberFormat="1" applyFill="1" applyBorder="1" applyAlignment="1">
      <alignment horizontal="center" vertical="center"/>
    </xf>
    <xf numFmtId="179" fontId="0" fillId="2" borderId="13" xfId="0" applyNumberFormat="1" applyFill="1" applyBorder="1" applyAlignment="1">
      <alignment horizontal="center" vertical="center"/>
    </xf>
    <xf numFmtId="179" fontId="0" fillId="0" borderId="2" xfId="0" applyNumberFormat="1" applyBorder="1" applyAlignment="1">
      <alignment horizontal="right" vertical="center"/>
    </xf>
    <xf numFmtId="179" fontId="0" fillId="0" borderId="2" xfId="0" applyNumberFormat="1" applyBorder="1" applyAlignment="1">
      <alignment horizontal="center" vertical="center"/>
    </xf>
    <xf numFmtId="0" fontId="3" fillId="3" borderId="2" xfId="0" applyFont="1" applyFill="1" applyBorder="1" applyAlignment="1">
      <alignment horizontal="center"/>
    </xf>
    <xf numFmtId="0" fontId="4" fillId="5" borderId="2" xfId="0" applyFont="1" applyFill="1" applyBorder="1" applyAlignment="1">
      <alignment horizontal="center" vertical="center"/>
    </xf>
    <xf numFmtId="0" fontId="8" fillId="11" borderId="2" xfId="1" applyNumberFormat="1" applyFont="1" applyFill="1" applyBorder="1" applyAlignment="1">
      <alignment horizontal="center" vertical="center"/>
    </xf>
    <xf numFmtId="0" fontId="0" fillId="0" borderId="0" xfId="0" applyAlignment="1">
      <alignment horizontal="center"/>
    </xf>
    <xf numFmtId="0" fontId="0" fillId="2" borderId="0" xfId="0" applyFill="1" applyAlignment="1">
      <alignment horizontal="center"/>
    </xf>
    <xf numFmtId="0" fontId="6" fillId="0" borderId="0" xfId="0" applyFont="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6" fillId="0" borderId="1" xfId="0" applyFont="1" applyBorder="1" applyAlignment="1">
      <alignment horizontal="center"/>
    </xf>
    <xf numFmtId="0" fontId="6" fillId="0" borderId="17" xfId="0" applyFont="1" applyBorder="1" applyAlignment="1">
      <alignment horizontal="center" vertical="center" wrapText="1"/>
    </xf>
    <xf numFmtId="0" fontId="13" fillId="2" borderId="13" xfId="0" applyFont="1" applyFill="1" applyBorder="1" applyAlignment="1">
      <alignment horizontal="center" vertical="center"/>
    </xf>
    <xf numFmtId="179" fontId="0" fillId="2" borderId="17" xfId="1" applyNumberFormat="1" applyFont="1" applyFill="1" applyBorder="1" applyAlignment="1">
      <alignment vertical="center"/>
    </xf>
    <xf numFmtId="179" fontId="0" fillId="2" borderId="7" xfId="1" applyNumberFormat="1" applyFont="1" applyFill="1" applyBorder="1" applyAlignment="1">
      <alignment vertical="center"/>
    </xf>
    <xf numFmtId="0" fontId="3" fillId="0" borderId="94" xfId="0" applyFont="1" applyBorder="1" applyAlignment="1">
      <alignment horizontal="center" vertical="center"/>
    </xf>
    <xf numFmtId="0" fontId="3" fillId="0" borderId="139" xfId="0" applyFont="1" applyBorder="1" applyAlignment="1">
      <alignment horizontal="left" vertical="center"/>
    </xf>
    <xf numFmtId="0" fontId="3" fillId="0" borderId="114" xfId="0" applyFont="1" applyBorder="1" applyAlignment="1">
      <alignment horizontal="left" vertical="center"/>
    </xf>
    <xf numFmtId="0" fontId="3" fillId="0" borderId="140" xfId="0" applyFont="1" applyBorder="1" applyAlignment="1">
      <alignment horizontal="left" vertical="center"/>
    </xf>
    <xf numFmtId="0" fontId="3" fillId="0" borderId="145" xfId="0" applyFont="1" applyBorder="1" applyAlignment="1">
      <alignment horizontal="center" vertical="center"/>
    </xf>
    <xf numFmtId="0" fontId="3" fillId="0" borderId="146" xfId="0" applyFont="1" applyBorder="1" applyAlignment="1">
      <alignment horizontal="center" vertical="center"/>
    </xf>
    <xf numFmtId="0" fontId="3" fillId="0" borderId="144" xfId="0" applyFont="1" applyBorder="1" applyAlignment="1">
      <alignment horizontal="center" vertical="center"/>
    </xf>
    <xf numFmtId="0" fontId="3" fillId="0" borderId="128" xfId="0" applyFont="1" applyBorder="1" applyAlignment="1">
      <alignment horizontal="center" vertical="center"/>
    </xf>
    <xf numFmtId="0" fontId="3" fillId="0" borderId="1" xfId="0" applyFont="1" applyBorder="1" applyAlignment="1">
      <alignment horizontal="center" vertical="center"/>
    </xf>
    <xf numFmtId="0" fontId="3" fillId="0" borderId="131" xfId="0" applyFont="1" applyBorder="1" applyAlignment="1">
      <alignment horizontal="center" vertical="center"/>
    </xf>
    <xf numFmtId="0" fontId="0" fillId="0" borderId="164" xfId="0" applyBorder="1" applyAlignment="1">
      <alignment horizontal="center" vertical="center"/>
    </xf>
    <xf numFmtId="0" fontId="0" fillId="0" borderId="16" xfId="0" applyBorder="1" applyAlignment="1">
      <alignment horizontal="center" vertical="center"/>
    </xf>
    <xf numFmtId="0" fontId="0" fillId="0" borderId="165" xfId="0" applyBorder="1" applyAlignment="1">
      <alignment horizontal="center" vertical="center"/>
    </xf>
    <xf numFmtId="0" fontId="4" fillId="0" borderId="128" xfId="0" applyFont="1" applyBorder="1" applyAlignment="1">
      <alignment horizontal="center" vertical="center"/>
    </xf>
    <xf numFmtId="0" fontId="4" fillId="0" borderId="1" xfId="0" applyFont="1" applyBorder="1" applyAlignment="1">
      <alignment horizontal="center" vertical="center"/>
    </xf>
    <xf numFmtId="0" fontId="4" fillId="0" borderId="131" xfId="0" applyFont="1" applyBorder="1" applyAlignment="1">
      <alignment horizontal="center" vertical="center"/>
    </xf>
    <xf numFmtId="0" fontId="7" fillId="2" borderId="0" xfId="0" applyFont="1" applyFill="1" applyBorder="1" applyAlignment="1">
      <alignment vertical="center"/>
    </xf>
    <xf numFmtId="0" fontId="24" fillId="2" borderId="0" xfId="0" applyFont="1" applyFill="1" applyBorder="1" applyAlignment="1">
      <alignment horizontal="center" vertical="center"/>
    </xf>
    <xf numFmtId="0" fontId="0" fillId="2" borderId="0" xfId="0" applyFill="1" applyBorder="1" applyAlignment="1">
      <alignment vertical="center"/>
    </xf>
    <xf numFmtId="0" fontId="4" fillId="2" borderId="6" xfId="1" applyNumberFormat="1" applyFont="1" applyFill="1" applyBorder="1" applyAlignment="1" applyProtection="1">
      <alignment horizontal="center" vertical="center"/>
    </xf>
    <xf numFmtId="0" fontId="50" fillId="2" borderId="6" xfId="0" applyFont="1" applyFill="1" applyBorder="1" applyAlignment="1">
      <alignment horizontal="left" vertical="center"/>
    </xf>
    <xf numFmtId="177" fontId="6" fillId="2" borderId="0" xfId="0" applyNumberFormat="1" applyFont="1" applyFill="1" applyBorder="1" applyAlignment="1">
      <alignment vertical="center"/>
    </xf>
    <xf numFmtId="0" fontId="4" fillId="2" borderId="0" xfId="0" applyFont="1" applyFill="1" applyBorder="1" applyAlignment="1">
      <alignment vertical="center"/>
    </xf>
    <xf numFmtId="177" fontId="51" fillId="2" borderId="6" xfId="0" applyNumberFormat="1" applyFont="1" applyFill="1" applyBorder="1" applyAlignment="1">
      <alignment horizontal="left" vertical="center"/>
    </xf>
    <xf numFmtId="177" fontId="51" fillId="2" borderId="6" xfId="0" applyNumberFormat="1" applyFont="1" applyFill="1" applyBorder="1" applyAlignment="1">
      <alignment horizontal="left" vertical="center" wrapText="1"/>
    </xf>
    <xf numFmtId="177" fontId="53" fillId="2" borderId="6" xfId="0" applyNumberFormat="1" applyFont="1" applyFill="1" applyBorder="1" applyAlignment="1">
      <alignment horizontal="left" vertical="center"/>
    </xf>
    <xf numFmtId="177" fontId="4" fillId="2" borderId="0" xfId="0" applyNumberFormat="1" applyFont="1" applyFill="1" applyBorder="1" applyAlignment="1">
      <alignment vertical="center"/>
    </xf>
    <xf numFmtId="177" fontId="49" fillId="2" borderId="6" xfId="0" applyNumberFormat="1" applyFont="1" applyFill="1" applyBorder="1" applyAlignment="1">
      <alignment horizontal="left" vertical="center"/>
    </xf>
    <xf numFmtId="177" fontId="3" fillId="2" borderId="0" xfId="0" applyNumberFormat="1" applyFont="1" applyFill="1" applyBorder="1" applyAlignment="1">
      <alignment vertical="center"/>
    </xf>
    <xf numFmtId="177" fontId="3" fillId="2" borderId="0" xfId="0" applyNumberFormat="1" applyFont="1" applyFill="1" applyBorder="1" applyAlignment="1">
      <alignment horizontal="center" vertical="center"/>
    </xf>
    <xf numFmtId="177" fontId="50" fillId="2" borderId="0" xfId="0" applyNumberFormat="1" applyFont="1" applyFill="1" applyBorder="1" applyAlignment="1">
      <alignment horizontal="left" vertical="center"/>
    </xf>
    <xf numFmtId="182" fontId="24" fillId="2" borderId="6" xfId="0" applyNumberFormat="1" applyFont="1" applyFill="1" applyBorder="1" applyAlignment="1">
      <alignment vertical="center"/>
    </xf>
    <xf numFmtId="0" fontId="49" fillId="2" borderId="6" xfId="0" applyFont="1" applyFill="1" applyBorder="1" applyAlignment="1">
      <alignment horizontal="left" vertical="center"/>
    </xf>
    <xf numFmtId="0" fontId="58" fillId="2" borderId="6" xfId="0" applyFont="1" applyFill="1" applyBorder="1" applyAlignment="1">
      <alignment horizontal="left" vertical="center"/>
    </xf>
    <xf numFmtId="0" fontId="53" fillId="2" borderId="6" xfId="0" applyFont="1" applyFill="1" applyBorder="1" applyAlignment="1">
      <alignment horizontal="left" vertical="center"/>
    </xf>
    <xf numFmtId="0" fontId="50" fillId="2" borderId="0" xfId="0" applyFont="1" applyFill="1" applyBorder="1" applyAlignment="1">
      <alignment horizontal="left" vertical="center"/>
    </xf>
  </cellXfs>
  <cellStyles count="6">
    <cellStyle name="Comma" xfId="3" builtinId="3"/>
    <cellStyle name="Currency" xfId="1" builtinId="4"/>
    <cellStyle name="Hyperlink" xfId="4" builtinId="8"/>
    <cellStyle name="Normal" xfId="0" builtinId="0"/>
    <cellStyle name="Normal 2" xfId="5" xr:uid="{4A8F0D3C-1502-4419-A310-980D2F8A3404}"/>
    <cellStyle name="Per cent" xfId="2" builtinId="5"/>
  </cellStyles>
  <dxfs count="275">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theme="0"/>
      </font>
    </dxf>
    <dxf>
      <font>
        <color auto="1"/>
      </font>
    </dxf>
    <dxf>
      <font>
        <color auto="1"/>
      </font>
    </dxf>
    <dxf>
      <font>
        <color auto="1"/>
      </font>
    </dxf>
    <dxf>
      <font>
        <color auto="1"/>
      </font>
    </dxf>
    <dxf>
      <font>
        <color auto="1"/>
      </font>
    </dxf>
    <dxf>
      <font>
        <color auto="1"/>
      </font>
    </dxf>
    <dxf>
      <font>
        <color auto="1"/>
      </font>
    </dxf>
    <dxf>
      <font>
        <color rgb="FFFF0000"/>
      </font>
    </dxf>
    <dxf>
      <font>
        <color rgb="FFFF0000"/>
      </font>
    </dxf>
    <dxf>
      <font>
        <color rgb="FFFF0000"/>
      </font>
    </dxf>
    <dxf>
      <font>
        <color rgb="FFFF0000"/>
      </font>
    </dxf>
    <dxf>
      <font>
        <color rgb="FFFF000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theme="0"/>
      </font>
    </dxf>
    <dxf>
      <font>
        <color auto="1"/>
      </font>
    </dxf>
    <dxf>
      <font>
        <color rgb="FFFF0000"/>
      </font>
    </dxf>
    <dxf>
      <font>
        <color rgb="FFFF0000"/>
      </font>
    </dxf>
    <dxf>
      <font>
        <color rgb="FFFF0000"/>
      </font>
    </dxf>
    <dxf>
      <font>
        <color theme="0"/>
      </font>
    </dxf>
    <dxf>
      <font>
        <color rgb="FFFF0000"/>
      </font>
    </dxf>
    <dxf>
      <font>
        <color theme="0"/>
      </font>
    </dxf>
    <dxf>
      <font>
        <color rgb="FFFF0000"/>
      </font>
    </dxf>
    <dxf>
      <font>
        <color rgb="FFFF0000"/>
      </font>
    </dxf>
    <dxf>
      <font>
        <color theme="0"/>
      </font>
    </dxf>
    <dxf>
      <font>
        <color rgb="FFFF0000"/>
      </font>
    </dxf>
    <dxf>
      <font>
        <color rgb="FFFF0000"/>
      </font>
    </dxf>
    <dxf>
      <font>
        <color rgb="FFFF0000"/>
      </font>
    </dxf>
    <dxf>
      <font>
        <color theme="0"/>
      </font>
    </dxf>
    <dxf>
      <font>
        <color rgb="FFFF0000"/>
      </font>
    </dxf>
    <dxf>
      <font>
        <color rgb="FFFF0000"/>
      </font>
    </dxf>
    <dxf>
      <font>
        <color rgb="FFFF0000"/>
      </font>
    </dxf>
    <dxf>
      <font>
        <color theme="0"/>
      </font>
    </dxf>
    <dxf>
      <font>
        <color rgb="FFFF0000"/>
      </font>
    </dxf>
    <dxf>
      <font>
        <color rgb="FFFF0000"/>
      </font>
    </dxf>
    <dxf>
      <font>
        <color theme="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theme="0"/>
      </font>
    </dxf>
    <dxf>
      <font>
        <color rgb="FFFF0000"/>
      </font>
    </dxf>
    <dxf>
      <font>
        <color theme="0"/>
      </font>
    </dxf>
    <dxf>
      <font>
        <color rgb="FFFF0000"/>
      </font>
    </dxf>
    <dxf>
      <font>
        <color rgb="FFFF000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b val="0"/>
        <i val="0"/>
        <color rgb="FFFF0000"/>
      </font>
    </dxf>
    <dxf>
      <font>
        <color auto="1"/>
      </font>
    </dxf>
    <dxf>
      <font>
        <color auto="1"/>
      </font>
    </dxf>
    <dxf>
      <font>
        <color auto="1"/>
      </font>
    </dxf>
    <dxf>
      <font>
        <color auto="1"/>
      </font>
    </dxf>
    <dxf>
      <font>
        <color auto="1"/>
      </font>
    </dxf>
    <dxf>
      <font>
        <color auto="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color auto="1"/>
      </font>
    </dxf>
    <dxf>
      <font>
        <color rgb="FFFF0000"/>
      </font>
    </dxf>
    <dxf>
      <font>
        <color rgb="FFFF000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theme="0"/>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theme="0"/>
      </font>
    </dxf>
    <dxf>
      <font>
        <color auto="1"/>
      </font>
    </dxf>
    <dxf>
      <font>
        <color auto="1"/>
      </font>
    </dxf>
    <dxf>
      <font>
        <color auto="1"/>
      </font>
    </dxf>
    <dxf>
      <font>
        <color auto="1"/>
      </font>
    </dxf>
    <dxf>
      <font>
        <color theme="0"/>
      </font>
    </dxf>
    <dxf>
      <font>
        <color auto="1"/>
      </font>
    </dxf>
    <dxf>
      <font>
        <color auto="1"/>
      </font>
    </dxf>
    <dxf>
      <font>
        <color auto="1"/>
      </font>
    </dxf>
    <dxf>
      <font>
        <color auto="1"/>
      </font>
    </dxf>
    <dxf>
      <font>
        <color auto="1"/>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auto="1"/>
      </font>
    </dxf>
    <dxf>
      <font>
        <color theme="0"/>
      </font>
    </dxf>
    <dxf>
      <font>
        <color theme="0"/>
      </font>
    </dxf>
    <dxf>
      <font>
        <color auto="1"/>
      </font>
    </dxf>
    <dxf>
      <font>
        <color auto="1"/>
      </font>
    </dxf>
    <dxf>
      <font>
        <color auto="1"/>
      </font>
    </dxf>
    <dxf>
      <font>
        <color theme="0"/>
      </font>
    </dxf>
    <dxf>
      <font>
        <color auto="1"/>
      </font>
    </dxf>
    <dxf>
      <font>
        <color auto="1"/>
      </font>
    </dxf>
    <dxf>
      <font>
        <color auto="1"/>
      </font>
    </dxf>
    <dxf>
      <font>
        <color auto="1"/>
      </font>
    </dxf>
    <dxf>
      <font>
        <color auto="1"/>
      </font>
    </dxf>
    <dxf>
      <font>
        <color auto="1"/>
      </font>
    </dxf>
    <dxf>
      <font>
        <color auto="1"/>
      </font>
    </dxf>
    <dxf>
      <font>
        <color auto="1"/>
      </font>
    </dxf>
    <dxf>
      <font>
        <color theme="0"/>
      </font>
    </dxf>
    <dxf>
      <font>
        <color auto="1"/>
      </font>
    </dxf>
    <dxf>
      <font>
        <color auto="1"/>
      </font>
    </dxf>
    <dxf>
      <font>
        <color auto="1"/>
      </font>
    </dxf>
    <dxf>
      <font>
        <color theme="0"/>
      </font>
    </dxf>
    <dxf>
      <font>
        <color theme="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theme="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theme="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border diagonalUp="0" diagonalDown="0">
        <left/>
        <right/>
        <top/>
        <bottom/>
        <vertical/>
        <horizontal/>
      </border>
    </dxf>
  </dxfs>
  <tableStyles count="1" defaultTableStyle="TableStyleMedium2" defaultPivotStyle="PivotStyleLight16">
    <tableStyle name="PivotTable Style 1" table="0" count="1" xr9:uid="{00000000-0011-0000-FFFF-FFFF00000000}">
      <tableStyleElement type="wholeTable" dxfId="274"/>
    </tableStyle>
  </tableStyles>
  <colors>
    <mruColors>
      <color rgb="FF99FFCC"/>
      <color rgb="FF00FF00"/>
      <color rgb="FFFFCCFF"/>
      <color rgb="FFFFFF66"/>
      <color rgb="FFFFFF99"/>
      <color rgb="FFFF9999"/>
      <color rgb="FFFFCC66"/>
      <color rgb="FFFF99FF"/>
      <color rgb="FFFF99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15</xdr:col>
      <xdr:colOff>71120</xdr:colOff>
      <xdr:row>2</xdr:row>
      <xdr:rowOff>109534</xdr:rowOff>
    </xdr:from>
    <xdr:ext cx="585507" cy="568646"/>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68960" y="495614"/>
          <a:ext cx="585507" cy="5686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121920</xdr:colOff>
      <xdr:row>2</xdr:row>
      <xdr:rowOff>56194</xdr:rowOff>
    </xdr:from>
    <xdr:ext cx="548641" cy="532842"/>
    <xdr:pic>
      <xdr:nvPicPr>
        <xdr:cNvPr id="2" name="Picture 1">
          <a:extLst>
            <a:ext uri="{FF2B5EF4-FFF2-40B4-BE49-F238E27FC236}">
              <a16:creationId xmlns:a16="http://schemas.microsoft.com/office/drawing/2014/main" id="{7C753061-DEAB-4161-81C3-E8C3A94C16DB}"/>
            </a:ext>
          </a:extLst>
        </xdr:cNvPr>
        <xdr:cNvPicPr>
          <a:picLocks noChangeAspect="1"/>
        </xdr:cNvPicPr>
      </xdr:nvPicPr>
      <xdr:blipFill>
        <a:blip xmlns:r="http://schemas.openxmlformats.org/officeDocument/2006/relationships" r:embed="rId1"/>
        <a:stretch>
          <a:fillRect/>
        </a:stretch>
      </xdr:blipFill>
      <xdr:spPr>
        <a:xfrm>
          <a:off x="1950720" y="581974"/>
          <a:ext cx="548641" cy="532842"/>
        </a:xfrm>
        <a:prstGeom prst="rect">
          <a:avLst/>
        </a:prstGeom>
      </xdr:spPr>
    </xdr:pic>
    <xdr:clientData/>
  </xdr:oneCellAnchor>
  <xdr:oneCellAnchor>
    <xdr:from>
      <xdr:col>8</xdr:col>
      <xdr:colOff>121920</xdr:colOff>
      <xdr:row>2</xdr:row>
      <xdr:rowOff>25714</xdr:rowOff>
    </xdr:from>
    <xdr:ext cx="750271" cy="728666"/>
    <xdr:pic>
      <xdr:nvPicPr>
        <xdr:cNvPr id="4" name="Picture 3">
          <a:extLst>
            <a:ext uri="{FF2B5EF4-FFF2-40B4-BE49-F238E27FC236}">
              <a16:creationId xmlns:a16="http://schemas.microsoft.com/office/drawing/2014/main" id="{70FFCB93-5B49-4546-B0C7-6A245883513D}"/>
            </a:ext>
          </a:extLst>
        </xdr:cNvPr>
        <xdr:cNvPicPr>
          <a:picLocks noChangeAspect="1"/>
        </xdr:cNvPicPr>
      </xdr:nvPicPr>
      <xdr:blipFill>
        <a:blip xmlns:r="http://schemas.openxmlformats.org/officeDocument/2006/relationships" r:embed="rId1"/>
        <a:stretch>
          <a:fillRect/>
        </a:stretch>
      </xdr:blipFill>
      <xdr:spPr>
        <a:xfrm>
          <a:off x="5303520" y="452434"/>
          <a:ext cx="750271" cy="72866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0</xdr:rowOff>
    </xdr:from>
    <xdr:to>
      <xdr:col>7</xdr:col>
      <xdr:colOff>346519</xdr:colOff>
      <xdr:row>19</xdr:row>
      <xdr:rowOff>30480</xdr:rowOff>
    </xdr:to>
    <xdr:pic>
      <xdr:nvPicPr>
        <xdr:cNvPr id="6" name="Picture 5">
          <a:extLst>
            <a:ext uri="{FF2B5EF4-FFF2-40B4-BE49-F238E27FC236}">
              <a16:creationId xmlns:a16="http://schemas.microsoft.com/office/drawing/2014/main" id="{75E3B8BB-4450-4A1E-9C0E-EE0CD0A6C12F}"/>
            </a:ext>
          </a:extLst>
        </xdr:cNvPr>
        <xdr:cNvPicPr>
          <a:picLocks noChangeAspect="1"/>
        </xdr:cNvPicPr>
      </xdr:nvPicPr>
      <xdr:blipFill>
        <a:blip xmlns:r="http://schemas.openxmlformats.org/officeDocument/2006/relationships" r:embed="rId1"/>
        <a:stretch>
          <a:fillRect/>
        </a:stretch>
      </xdr:blipFill>
      <xdr:spPr>
        <a:xfrm>
          <a:off x="53340" y="0"/>
          <a:ext cx="4560379" cy="449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198120</xdr:colOff>
      <xdr:row>0</xdr:row>
      <xdr:rowOff>54806</xdr:rowOff>
    </xdr:from>
    <xdr:to>
      <xdr:col>31</xdr:col>
      <xdr:colOff>142150</xdr:colOff>
      <xdr:row>23</xdr:row>
      <xdr:rowOff>103439</xdr:rowOff>
    </xdr:to>
    <xdr:pic>
      <xdr:nvPicPr>
        <xdr:cNvPr id="2" name="Picture 1">
          <a:extLst>
            <a:ext uri="{FF2B5EF4-FFF2-40B4-BE49-F238E27FC236}">
              <a16:creationId xmlns:a16="http://schemas.microsoft.com/office/drawing/2014/main" id="{1286AB8A-0D78-4828-9B06-301086435132}"/>
            </a:ext>
          </a:extLst>
        </xdr:cNvPr>
        <xdr:cNvPicPr>
          <a:picLocks noChangeAspect="1"/>
        </xdr:cNvPicPr>
      </xdr:nvPicPr>
      <xdr:blipFill>
        <a:blip xmlns:r="http://schemas.openxmlformats.org/officeDocument/2006/relationships" r:embed="rId1"/>
        <a:stretch>
          <a:fillRect/>
        </a:stretch>
      </xdr:blipFill>
      <xdr:spPr>
        <a:xfrm>
          <a:off x="9174480" y="54806"/>
          <a:ext cx="4378870" cy="43844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0</xdr:colOff>
      <xdr:row>0</xdr:row>
      <xdr:rowOff>129540</xdr:rowOff>
    </xdr:from>
    <xdr:to>
      <xdr:col>39</xdr:col>
      <xdr:colOff>541632</xdr:colOff>
      <xdr:row>35</xdr:row>
      <xdr:rowOff>175862</xdr:rowOff>
    </xdr:to>
    <xdr:pic>
      <xdr:nvPicPr>
        <xdr:cNvPr id="3" name="Picture 2">
          <a:extLst>
            <a:ext uri="{FF2B5EF4-FFF2-40B4-BE49-F238E27FC236}">
              <a16:creationId xmlns:a16="http://schemas.microsoft.com/office/drawing/2014/main" id="{2D0A5164-4329-4BF4-91AB-608641548790}"/>
            </a:ext>
          </a:extLst>
        </xdr:cNvPr>
        <xdr:cNvPicPr>
          <a:picLocks noChangeAspect="1"/>
        </xdr:cNvPicPr>
      </xdr:nvPicPr>
      <xdr:blipFill>
        <a:blip xmlns:r="http://schemas.openxmlformats.org/officeDocument/2006/relationships" r:embed="rId1"/>
        <a:stretch>
          <a:fillRect/>
        </a:stretch>
      </xdr:blipFill>
      <xdr:spPr>
        <a:xfrm>
          <a:off x="13190220" y="129540"/>
          <a:ext cx="7064352" cy="69500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68580</xdr:colOff>
      <xdr:row>1</xdr:row>
      <xdr:rowOff>62176</xdr:rowOff>
    </xdr:from>
    <xdr:to>
      <xdr:col>24</xdr:col>
      <xdr:colOff>465670</xdr:colOff>
      <xdr:row>18</xdr:row>
      <xdr:rowOff>7619</xdr:rowOff>
    </xdr:to>
    <xdr:pic>
      <xdr:nvPicPr>
        <xdr:cNvPr id="4" name="Picture 3">
          <a:extLst>
            <a:ext uri="{FF2B5EF4-FFF2-40B4-BE49-F238E27FC236}">
              <a16:creationId xmlns:a16="http://schemas.microsoft.com/office/drawing/2014/main" id="{CB3F9C69-1F5F-33E8-852E-A4D7CFF1E1C6}"/>
            </a:ext>
          </a:extLst>
        </xdr:cNvPr>
        <xdr:cNvPicPr>
          <a:picLocks noChangeAspect="1"/>
        </xdr:cNvPicPr>
      </xdr:nvPicPr>
      <xdr:blipFill>
        <a:blip xmlns:r="http://schemas.openxmlformats.org/officeDocument/2006/relationships" r:embed="rId1"/>
        <a:stretch>
          <a:fillRect/>
        </a:stretch>
      </xdr:blipFill>
      <xdr:spPr>
        <a:xfrm>
          <a:off x="5280660" y="359356"/>
          <a:ext cx="8321890" cy="30848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6.bin"/><Relationship Id="rId1" Type="http://schemas.openxmlformats.org/officeDocument/2006/relationships/hyperlink" Target="https://www.galatent.co.uk/product/09060"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Y120"/>
  <sheetViews>
    <sheetView tabSelected="1" view="pageBreakPreview" zoomScale="125" zoomScaleNormal="150" zoomScaleSheetLayoutView="125" workbookViewId="0">
      <pane xSplit="20" ySplit="9" topLeftCell="U10" activePane="bottomRight" state="frozen"/>
      <selection pane="topRight" activeCell="T1" sqref="T1"/>
      <selection pane="bottomLeft" activeCell="A10" sqref="A10"/>
      <selection pane="bottomRight" activeCell="AA18" sqref="AA18"/>
    </sheetView>
  </sheetViews>
  <sheetFormatPr baseColWidth="10" defaultColWidth="8.83203125" defaultRowHeight="15" customHeight="1" x14ac:dyDescent="0.2"/>
  <cols>
    <col min="1" max="1" width="6.5" style="2126" bestFit="1" customWidth="1"/>
    <col min="2" max="2" width="12.5" style="1684" hidden="1" customWidth="1"/>
    <col min="3" max="3" width="20.83203125" style="1865" hidden="1" customWidth="1"/>
    <col min="4" max="4" width="9.5" style="1865" hidden="1" customWidth="1"/>
    <col min="5" max="5" width="15.5" style="1865" hidden="1" customWidth="1"/>
    <col min="6" max="7" width="9.5" style="1865" hidden="1" customWidth="1"/>
    <col min="8" max="8" width="9.5" style="1884" hidden="1" customWidth="1"/>
    <col min="9" max="9" width="9.5" style="1903" hidden="1" customWidth="1"/>
    <col min="10" max="10" width="5.83203125" style="1903" hidden="1" customWidth="1"/>
    <col min="11" max="14" width="9.5" style="1884" hidden="1" customWidth="1"/>
    <col min="15" max="15" width="9.5" style="1904" hidden="1" customWidth="1"/>
    <col min="16" max="17" width="9.5" style="1904" bestFit="1" customWidth="1"/>
    <col min="18" max="18" width="9.5" style="1884" customWidth="1"/>
    <col min="19" max="19" width="1.5" style="2" bestFit="1" customWidth="1"/>
    <col min="20" max="20" width="37.5" style="2" bestFit="1" customWidth="1"/>
    <col min="21" max="21" width="11.33203125" style="1884" customWidth="1"/>
    <col min="22" max="22" width="23" style="2163" hidden="1" customWidth="1"/>
    <col min="23" max="23" width="19.6640625" style="1905" bestFit="1" customWidth="1"/>
    <col min="24" max="24" width="1.5" style="2645" customWidth="1"/>
    <col min="25" max="25" width="8.83203125" style="2628"/>
    <col min="26" max="16384" width="8.83203125" style="2"/>
  </cols>
  <sheetData>
    <row r="1" spans="1:25" s="1683" customFormat="1" ht="15" customHeight="1" x14ac:dyDescent="0.2">
      <c r="A1" s="2102">
        <v>1</v>
      </c>
      <c r="B1" s="1682"/>
      <c r="C1" s="1694" t="s">
        <v>817</v>
      </c>
      <c r="D1" s="1694"/>
      <c r="E1" s="1694"/>
      <c r="F1" s="1694"/>
      <c r="G1" s="1694"/>
      <c r="H1" s="1695"/>
      <c r="I1" s="1696"/>
      <c r="J1" s="1697" t="s">
        <v>1018</v>
      </c>
      <c r="K1" s="1697"/>
      <c r="L1" s="2197" t="s">
        <v>1452</v>
      </c>
      <c r="M1" s="2197"/>
      <c r="N1" s="2197"/>
      <c r="O1" s="2197"/>
      <c r="P1" s="2197"/>
      <c r="Q1" s="2197"/>
      <c r="R1" s="2197"/>
      <c r="S1" s="2197"/>
      <c r="T1" s="2197"/>
      <c r="U1" s="1698" t="s">
        <v>982</v>
      </c>
      <c r="V1" s="2129" t="s">
        <v>982</v>
      </c>
      <c r="W1" s="1683" t="s">
        <v>1007</v>
      </c>
      <c r="X1" s="2626"/>
      <c r="Y1" s="2626"/>
    </row>
    <row r="2" spans="1:25" s="1683" customFormat="1" ht="15" customHeight="1" x14ac:dyDescent="0.2">
      <c r="A2" s="2125">
        <v>2</v>
      </c>
      <c r="B2" s="1682"/>
      <c r="D2" s="1696"/>
      <c r="E2" s="1696"/>
      <c r="F2" s="1694"/>
      <c r="G2" s="1694"/>
      <c r="I2" s="1696"/>
      <c r="J2" s="1696" t="s">
        <v>1019</v>
      </c>
      <c r="K2" s="1696"/>
      <c r="L2" s="2197"/>
      <c r="M2" s="2197"/>
      <c r="N2" s="2197"/>
      <c r="O2" s="2197"/>
      <c r="P2" s="2197"/>
      <c r="Q2" s="2197"/>
      <c r="R2" s="2197"/>
      <c r="S2" s="2197"/>
      <c r="T2" s="2197"/>
      <c r="U2" s="1698" t="s">
        <v>700</v>
      </c>
      <c r="V2" s="2129" t="s">
        <v>700</v>
      </c>
      <c r="W2" s="1683" t="s">
        <v>817</v>
      </c>
      <c r="X2" s="2626"/>
      <c r="Y2" s="2626"/>
    </row>
    <row r="3" spans="1:25" ht="15" customHeight="1" x14ac:dyDescent="0.2">
      <c r="A3" s="2102">
        <v>3</v>
      </c>
      <c r="B3" s="1168"/>
      <c r="C3" s="1699"/>
      <c r="D3" s="1700"/>
      <c r="E3" s="1699"/>
      <c r="F3" s="1700"/>
      <c r="G3" s="1700"/>
      <c r="H3" s="1701"/>
      <c r="I3" s="1701"/>
      <c r="J3" s="1700"/>
      <c r="K3" s="1700"/>
      <c r="L3" s="2198" t="s">
        <v>0</v>
      </c>
      <c r="M3" s="2199"/>
      <c r="N3" s="2199"/>
      <c r="O3" s="2199"/>
      <c r="P3" s="2199"/>
      <c r="Q3" s="2199"/>
      <c r="R3" s="2199"/>
      <c r="S3" s="2199"/>
      <c r="T3" s="2199"/>
      <c r="U3" s="2199"/>
      <c r="V3" s="2199"/>
      <c r="W3" s="2200"/>
      <c r="X3" s="2627"/>
    </row>
    <row r="4" spans="1:25" ht="15" customHeight="1" x14ac:dyDescent="0.2">
      <c r="A4" s="2125">
        <v>4</v>
      </c>
      <c r="B4" s="1702"/>
      <c r="C4" s="1699"/>
      <c r="D4" s="1700"/>
      <c r="E4" s="1699"/>
      <c r="F4" s="1700"/>
      <c r="G4" s="1700"/>
      <c r="H4" s="1701"/>
      <c r="I4" s="1701"/>
      <c r="J4" s="1700"/>
      <c r="K4" s="1700"/>
      <c r="L4" s="2201" t="s">
        <v>886</v>
      </c>
      <c r="M4" s="2202"/>
      <c r="N4" s="2202"/>
      <c r="O4" s="2202"/>
      <c r="P4" s="2202"/>
      <c r="Q4" s="2202"/>
      <c r="R4" s="2202"/>
      <c r="S4" s="2202"/>
      <c r="T4" s="2202"/>
      <c r="U4" s="2202"/>
      <c r="V4" s="2202"/>
      <c r="W4" s="2203"/>
      <c r="X4" s="2627"/>
    </row>
    <row r="5" spans="1:25" ht="15" customHeight="1" x14ac:dyDescent="0.2">
      <c r="A5" s="2102">
        <v>5</v>
      </c>
      <c r="B5" s="1168"/>
      <c r="C5" s="1699"/>
      <c r="D5" s="1700"/>
      <c r="E5" s="1699"/>
      <c r="F5" s="1700"/>
      <c r="G5" s="1700"/>
      <c r="H5" s="1701"/>
      <c r="I5" s="1701"/>
      <c r="J5" s="1700"/>
      <c r="K5" s="1700"/>
      <c r="L5" s="2201" t="s">
        <v>1454</v>
      </c>
      <c r="M5" s="2202"/>
      <c r="N5" s="2202"/>
      <c r="O5" s="2202"/>
      <c r="P5" s="2202"/>
      <c r="Q5" s="2202"/>
      <c r="R5" s="2202"/>
      <c r="S5" s="2202"/>
      <c r="T5" s="2202"/>
      <c r="U5" s="2202"/>
      <c r="V5" s="2202"/>
      <c r="W5" s="2203"/>
      <c r="X5" s="2627"/>
    </row>
    <row r="6" spans="1:25" ht="15" customHeight="1" x14ac:dyDescent="0.2">
      <c r="A6" s="2125">
        <v>6</v>
      </c>
      <c r="B6" s="1702"/>
      <c r="C6" s="1699"/>
      <c r="D6" s="1703"/>
      <c r="E6" s="1699"/>
      <c r="F6" s="1703"/>
      <c r="G6" s="1703"/>
      <c r="H6" s="1704"/>
      <c r="I6" s="1704"/>
      <c r="J6" s="1703"/>
      <c r="K6" s="1703"/>
      <c r="L6" s="2191" t="s">
        <v>1</v>
      </c>
      <c r="M6" s="2192"/>
      <c r="N6" s="2192"/>
      <c r="O6" s="2192"/>
      <c r="P6" s="2192"/>
      <c r="Q6" s="2192"/>
      <c r="R6" s="2192"/>
      <c r="S6" s="2192"/>
      <c r="T6" s="2192"/>
      <c r="U6" s="2192"/>
      <c r="V6" s="2192"/>
      <c r="W6" s="2193"/>
      <c r="X6" s="1705"/>
    </row>
    <row r="7" spans="1:25" ht="15" customHeight="1" x14ac:dyDescent="0.2">
      <c r="A7" s="2102">
        <v>7</v>
      </c>
      <c r="B7" s="2187" t="s">
        <v>1443</v>
      </c>
      <c r="C7" s="1706">
        <v>2010</v>
      </c>
      <c r="D7" s="1706">
        <v>2011</v>
      </c>
      <c r="E7" s="1706">
        <v>2012</v>
      </c>
      <c r="F7" s="1706">
        <v>2013</v>
      </c>
      <c r="G7" s="1706">
        <v>2014</v>
      </c>
      <c r="H7" s="1706">
        <v>2015</v>
      </c>
      <c r="I7" s="1706">
        <v>2016</v>
      </c>
      <c r="J7" s="1706">
        <v>2017</v>
      </c>
      <c r="K7" s="1706">
        <v>2018</v>
      </c>
      <c r="L7" s="1706">
        <v>2019</v>
      </c>
      <c r="M7" s="1706">
        <v>2020</v>
      </c>
      <c r="N7" s="1706">
        <v>2021</v>
      </c>
      <c r="O7" s="1707">
        <v>2022</v>
      </c>
      <c r="P7" s="1707">
        <v>2023</v>
      </c>
      <c r="Q7" s="1707">
        <v>2024</v>
      </c>
      <c r="R7" s="1706">
        <v>2025</v>
      </c>
      <c r="S7" s="1708"/>
      <c r="T7" s="1709"/>
      <c r="U7" s="1710">
        <v>2026</v>
      </c>
      <c r="V7" s="2130">
        <v>2026</v>
      </c>
      <c r="W7" s="2189" t="s">
        <v>983</v>
      </c>
      <c r="X7" s="2629"/>
    </row>
    <row r="8" spans="1:25" ht="15" customHeight="1" x14ac:dyDescent="0.2">
      <c r="A8" s="2125">
        <v>8</v>
      </c>
      <c r="B8" s="2188"/>
      <c r="C8" s="1711" t="s">
        <v>481</v>
      </c>
      <c r="D8" s="1711"/>
      <c r="E8" s="1711"/>
      <c r="F8" s="1711"/>
      <c r="G8" s="1711"/>
      <c r="H8" s="1711"/>
      <c r="I8" s="1711"/>
      <c r="J8" s="1711"/>
      <c r="K8" s="1712"/>
      <c r="L8" s="2181" t="s">
        <v>481</v>
      </c>
      <c r="M8" s="2182"/>
      <c r="N8" s="2182"/>
      <c r="O8" s="2182"/>
      <c r="P8" s="2182"/>
      <c r="Q8" s="2182"/>
      <c r="R8" s="2183"/>
      <c r="S8" s="1713"/>
      <c r="T8" s="1714"/>
      <c r="U8" s="333" t="s">
        <v>519</v>
      </c>
      <c r="V8" s="2131" t="s">
        <v>519</v>
      </c>
      <c r="W8" s="2190"/>
      <c r="X8" s="2629"/>
    </row>
    <row r="9" spans="1:25" ht="15" customHeight="1" x14ac:dyDescent="0.2">
      <c r="A9" s="2102">
        <v>9</v>
      </c>
      <c r="B9" s="411"/>
      <c r="C9" s="1715"/>
      <c r="D9" s="1715"/>
      <c r="E9" s="1715"/>
      <c r="F9" s="1715"/>
      <c r="G9" s="1715"/>
      <c r="H9" s="1715"/>
      <c r="I9" s="1715"/>
      <c r="J9" s="1715"/>
      <c r="K9" s="1716"/>
      <c r="L9" s="1717" t="s">
        <v>888</v>
      </c>
      <c r="M9" s="1717" t="s">
        <v>888</v>
      </c>
      <c r="N9" s="1717" t="s">
        <v>888</v>
      </c>
      <c r="O9" s="1718" t="s">
        <v>888</v>
      </c>
      <c r="P9" s="1718" t="s">
        <v>888</v>
      </c>
      <c r="Q9" s="1718" t="s">
        <v>888</v>
      </c>
      <c r="R9" s="670" t="s">
        <v>888</v>
      </c>
      <c r="S9" s="1713"/>
      <c r="T9" s="664"/>
      <c r="U9" s="664" t="s">
        <v>888</v>
      </c>
      <c r="V9" s="2132" t="s">
        <v>888</v>
      </c>
      <c r="W9" s="1719"/>
      <c r="X9" s="2630"/>
    </row>
    <row r="10" spans="1:25" ht="16" x14ac:dyDescent="0.2">
      <c r="A10" s="2125">
        <v>10</v>
      </c>
      <c r="B10" s="1720"/>
      <c r="C10" s="1699"/>
      <c r="D10" s="1721"/>
      <c r="E10" s="1699"/>
      <c r="F10" s="1722"/>
      <c r="G10" s="1722"/>
      <c r="H10" s="1701"/>
      <c r="I10" s="1701"/>
      <c r="J10" s="1722"/>
      <c r="K10" s="1722"/>
      <c r="L10" s="1723"/>
      <c r="M10" s="1724"/>
      <c r="N10" s="1724"/>
      <c r="O10" s="1725"/>
      <c r="P10" s="1725"/>
      <c r="Q10" s="1725"/>
      <c r="R10" s="2164"/>
      <c r="S10" s="1713"/>
      <c r="T10" s="1723" t="s">
        <v>730</v>
      </c>
      <c r="U10" s="1685"/>
      <c r="V10" s="2133"/>
      <c r="W10" s="1726"/>
      <c r="X10" s="2631"/>
    </row>
    <row r="11" spans="1:25" x14ac:dyDescent="0.2">
      <c r="A11" s="2102">
        <v>11</v>
      </c>
      <c r="B11" s="1727"/>
      <c r="C11" s="1728"/>
      <c r="D11" s="1729"/>
      <c r="E11" s="1728"/>
      <c r="F11" s="1729"/>
      <c r="G11" s="1729"/>
      <c r="H11" s="1704"/>
      <c r="I11" s="1704"/>
      <c r="J11" s="1729"/>
      <c r="K11" s="1729"/>
      <c r="L11" s="1730"/>
      <c r="M11" s="1731"/>
      <c r="N11" s="1731"/>
      <c r="O11" s="1732"/>
      <c r="P11" s="1732"/>
      <c r="Q11" s="1732"/>
      <c r="R11" s="2165"/>
      <c r="S11" s="1713"/>
      <c r="T11" s="1730" t="s">
        <v>2</v>
      </c>
      <c r="U11" s="1686"/>
      <c r="V11" s="2134"/>
      <c r="W11" s="1733"/>
      <c r="X11" s="2632"/>
    </row>
    <row r="12" spans="1:25" ht="24" customHeight="1" x14ac:dyDescent="0.2">
      <c r="A12" s="2125">
        <v>12</v>
      </c>
      <c r="B12" s="132" t="s">
        <v>1391</v>
      </c>
      <c r="C12" s="1734">
        <v>3935</v>
      </c>
      <c r="D12" s="1734">
        <v>4105</v>
      </c>
      <c r="E12" s="1735">
        <v>4275</v>
      </c>
      <c r="F12" s="1736">
        <v>3915</v>
      </c>
      <c r="G12" s="1735">
        <v>3870</v>
      </c>
      <c r="H12" s="1737">
        <v>4230</v>
      </c>
      <c r="I12" s="1737">
        <v>4005</v>
      </c>
      <c r="J12" s="1735">
        <v>3442.5</v>
      </c>
      <c r="K12" s="1738">
        <v>3330</v>
      </c>
      <c r="L12" s="1739">
        <v>3195</v>
      </c>
      <c r="M12" s="1739">
        <v>2871</v>
      </c>
      <c r="N12" s="1739">
        <v>2965</v>
      </c>
      <c r="O12" s="1740">
        <v>3240</v>
      </c>
      <c r="P12" s="1740">
        <v>3795</v>
      </c>
      <c r="Q12" s="1740">
        <v>3495</v>
      </c>
      <c r="R12" s="1740">
        <v>3070</v>
      </c>
      <c r="S12" s="1741"/>
      <c r="T12" s="1742" t="s">
        <v>5</v>
      </c>
      <c r="U12" s="1659"/>
      <c r="V12" s="2135"/>
      <c r="W12" s="339"/>
      <c r="X12" s="2633"/>
    </row>
    <row r="13" spans="1:25" ht="15" customHeight="1" x14ac:dyDescent="0.2">
      <c r="A13" s="2102">
        <v>13</v>
      </c>
      <c r="B13" s="132" t="s">
        <v>1393</v>
      </c>
      <c r="C13" s="1743"/>
      <c r="D13" s="1743"/>
      <c r="E13" s="1735">
        <v>95</v>
      </c>
      <c r="F13" s="1736">
        <v>135</v>
      </c>
      <c r="G13" s="1735">
        <v>110</v>
      </c>
      <c r="H13" s="1737">
        <v>120</v>
      </c>
      <c r="I13" s="1737">
        <v>145</v>
      </c>
      <c r="J13" s="1735">
        <v>155</v>
      </c>
      <c r="K13" s="1738">
        <v>175</v>
      </c>
      <c r="L13" s="1739">
        <v>150</v>
      </c>
      <c r="M13" s="1739">
        <v>110</v>
      </c>
      <c r="N13" s="1739">
        <v>125</v>
      </c>
      <c r="O13" s="1740">
        <v>105.03</v>
      </c>
      <c r="P13" s="1740">
        <v>140</v>
      </c>
      <c r="Q13" s="1740"/>
      <c r="R13" s="1740">
        <v>180</v>
      </c>
      <c r="S13" s="1741"/>
      <c r="T13" s="1742" t="s">
        <v>6</v>
      </c>
      <c r="U13" s="1659"/>
      <c r="V13" s="2135"/>
      <c r="W13" s="339"/>
      <c r="X13" s="2633"/>
    </row>
    <row r="14" spans="1:25" ht="15" customHeight="1" x14ac:dyDescent="0.2">
      <c r="A14" s="2125">
        <v>14</v>
      </c>
      <c r="B14" s="132" t="s">
        <v>1392</v>
      </c>
      <c r="C14" s="1744"/>
      <c r="D14" s="1744"/>
      <c r="E14" s="1735"/>
      <c r="F14" s="1736"/>
      <c r="G14" s="1735"/>
      <c r="H14" s="1737"/>
      <c r="I14" s="1737"/>
      <c r="J14" s="1735"/>
      <c r="K14" s="1738"/>
      <c r="L14" s="1739"/>
      <c r="M14" s="1739"/>
      <c r="N14" s="1739">
        <v>50</v>
      </c>
      <c r="O14" s="1740">
        <v>45</v>
      </c>
      <c r="P14" s="1740"/>
      <c r="Q14" s="1740"/>
      <c r="R14" s="1740"/>
      <c r="S14" s="1741"/>
      <c r="T14" s="1742" t="s">
        <v>965</v>
      </c>
      <c r="U14" s="1659"/>
      <c r="V14" s="2135"/>
      <c r="W14" s="339"/>
      <c r="X14" s="2633"/>
    </row>
    <row r="15" spans="1:25" ht="15" customHeight="1" x14ac:dyDescent="0.2">
      <c r="A15" s="2102">
        <v>15</v>
      </c>
      <c r="B15" s="132" t="s">
        <v>1444</v>
      </c>
      <c r="C15" s="1736">
        <v>90</v>
      </c>
      <c r="D15" s="1736">
        <v>195</v>
      </c>
      <c r="E15" s="1736">
        <v>60</v>
      </c>
      <c r="F15" s="1736">
        <v>90</v>
      </c>
      <c r="G15" s="1736">
        <v>105</v>
      </c>
      <c r="H15" s="1737">
        <v>180</v>
      </c>
      <c r="I15" s="1737">
        <v>75</v>
      </c>
      <c r="J15" s="1735">
        <v>75</v>
      </c>
      <c r="K15" s="1738">
        <v>90</v>
      </c>
      <c r="L15" s="1739">
        <v>30</v>
      </c>
      <c r="M15" s="1739">
        <v>30</v>
      </c>
      <c r="N15" s="1739">
        <v>90</v>
      </c>
      <c r="O15" s="1740">
        <v>120</v>
      </c>
      <c r="P15" s="1740">
        <v>0</v>
      </c>
      <c r="Q15" s="1740">
        <v>0</v>
      </c>
      <c r="R15" s="1740"/>
      <c r="S15" s="1741"/>
      <c r="T15" s="1742" t="s">
        <v>7</v>
      </c>
      <c r="U15" s="1659"/>
      <c r="V15" s="2135"/>
      <c r="W15" s="339"/>
      <c r="X15" s="2633"/>
    </row>
    <row r="16" spans="1:25" ht="15" customHeight="1" x14ac:dyDescent="0.2">
      <c r="A16" s="2125">
        <v>16</v>
      </c>
      <c r="B16" s="132" t="s">
        <v>1394</v>
      </c>
      <c r="C16" s="1736">
        <v>2520</v>
      </c>
      <c r="D16" s="1736">
        <v>2582</v>
      </c>
      <c r="E16" s="1736">
        <v>2679</v>
      </c>
      <c r="F16" s="1736">
        <v>2739</v>
      </c>
      <c r="G16" s="1736">
        <v>2599</v>
      </c>
      <c r="H16" s="1737">
        <v>2877</v>
      </c>
      <c r="I16" s="1737">
        <v>2712</v>
      </c>
      <c r="J16" s="1735">
        <v>2548</v>
      </c>
      <c r="K16" s="1738">
        <v>2485</v>
      </c>
      <c r="L16" s="1739">
        <v>1973.8</v>
      </c>
      <c r="M16" s="1739"/>
      <c r="N16" s="1739">
        <v>1816</v>
      </c>
      <c r="O16" s="1740">
        <v>1589</v>
      </c>
      <c r="P16" s="1740">
        <v>2918.31</v>
      </c>
      <c r="Q16" s="1740">
        <v>2590</v>
      </c>
      <c r="R16" s="1740">
        <v>2528.5500000000002</v>
      </c>
      <c r="S16" s="1741"/>
      <c r="T16" s="1742" t="s">
        <v>8</v>
      </c>
      <c r="U16" s="1659"/>
      <c r="V16" s="2135"/>
      <c r="W16" s="339"/>
      <c r="X16" s="2633"/>
    </row>
    <row r="17" spans="1:24" ht="16" x14ac:dyDescent="0.2">
      <c r="A17" s="2102">
        <v>17</v>
      </c>
      <c r="B17" s="1436" t="s">
        <v>1395</v>
      </c>
      <c r="C17" s="1736">
        <v>337</v>
      </c>
      <c r="D17" s="1736">
        <v>357</v>
      </c>
      <c r="E17" s="1736">
        <v>402</v>
      </c>
      <c r="F17" s="1736">
        <v>183</v>
      </c>
      <c r="G17" s="1736">
        <v>208</v>
      </c>
      <c r="H17" s="1737">
        <v>134</v>
      </c>
      <c r="I17" s="1737">
        <v>145</v>
      </c>
      <c r="J17" s="1735">
        <v>208.5</v>
      </c>
      <c r="K17" s="1738">
        <v>144.30000000000001</v>
      </c>
      <c r="L17" s="1739">
        <v>125</v>
      </c>
      <c r="M17" s="1739"/>
      <c r="N17" s="1739"/>
      <c r="O17" s="1740">
        <v>106</v>
      </c>
      <c r="P17" s="1740">
        <v>122</v>
      </c>
      <c r="Q17" s="1740">
        <v>47.56</v>
      </c>
      <c r="R17" s="1740">
        <v>102.36</v>
      </c>
      <c r="S17" s="1741"/>
      <c r="T17" s="1742" t="s">
        <v>9</v>
      </c>
      <c r="U17" s="1659"/>
      <c r="V17" s="2135"/>
      <c r="W17" s="339"/>
      <c r="X17" s="2634"/>
    </row>
    <row r="18" spans="1:24" ht="15" customHeight="1" x14ac:dyDescent="0.2">
      <c r="A18" s="2125">
        <v>18</v>
      </c>
      <c r="B18" s="1436" t="s">
        <v>1396</v>
      </c>
      <c r="C18" s="1736">
        <v>258</v>
      </c>
      <c r="D18" s="1736">
        <v>265</v>
      </c>
      <c r="E18" s="1736">
        <v>256</v>
      </c>
      <c r="F18" s="1736">
        <v>111</v>
      </c>
      <c r="G18" s="1736">
        <v>108</v>
      </c>
      <c r="H18" s="1737">
        <v>184</v>
      </c>
      <c r="I18" s="1737">
        <v>126</v>
      </c>
      <c r="J18" s="1735">
        <v>102</v>
      </c>
      <c r="K18" s="1738">
        <v>0</v>
      </c>
      <c r="L18" s="1739">
        <v>323.74</v>
      </c>
      <c r="M18" s="1739"/>
      <c r="N18" s="1739">
        <v>265</v>
      </c>
      <c r="O18" s="1740">
        <v>277.23</v>
      </c>
      <c r="P18" s="1740">
        <v>319.52000000000004</v>
      </c>
      <c r="Q18" s="1740">
        <v>317.63</v>
      </c>
      <c r="R18" s="1740">
        <v>419.2</v>
      </c>
      <c r="S18" s="1741" t="s">
        <v>1390</v>
      </c>
      <c r="T18" s="1742" t="s">
        <v>12</v>
      </c>
      <c r="U18" s="1659"/>
      <c r="V18" s="2135"/>
      <c r="W18" s="339"/>
      <c r="X18" s="2635"/>
    </row>
    <row r="19" spans="1:24" ht="15" customHeight="1" x14ac:dyDescent="0.2">
      <c r="A19" s="2102">
        <v>19</v>
      </c>
      <c r="B19" s="1436" t="s">
        <v>1389</v>
      </c>
      <c r="C19" s="1736">
        <v>496</v>
      </c>
      <c r="D19" s="1736">
        <v>668</v>
      </c>
      <c r="E19" s="1736">
        <v>199</v>
      </c>
      <c r="F19" s="1736">
        <v>626</v>
      </c>
      <c r="G19" s="1736">
        <v>396</v>
      </c>
      <c r="H19" s="1737">
        <v>659</v>
      </c>
      <c r="I19" s="1737">
        <v>471.12</v>
      </c>
      <c r="J19" s="1735">
        <v>472.90999999999997</v>
      </c>
      <c r="K19" s="1738">
        <v>370.93</v>
      </c>
      <c r="L19" s="1739">
        <v>26</v>
      </c>
      <c r="M19" s="1739"/>
      <c r="N19" s="1739">
        <v>76</v>
      </c>
      <c r="O19" s="1740">
        <v>72</v>
      </c>
      <c r="P19" s="1740">
        <v>66</v>
      </c>
      <c r="Q19" s="1740">
        <v>72</v>
      </c>
      <c r="R19" s="1740">
        <v>16</v>
      </c>
      <c r="S19" s="1741"/>
      <c r="T19" s="1742" t="s">
        <v>11</v>
      </c>
      <c r="U19" s="1659"/>
      <c r="V19" s="2135"/>
      <c r="W19" s="339"/>
      <c r="X19" s="2633"/>
    </row>
    <row r="20" spans="1:24" ht="15" customHeight="1" x14ac:dyDescent="0.2">
      <c r="A20" s="2125">
        <v>20</v>
      </c>
      <c r="B20" s="132" t="s">
        <v>1397</v>
      </c>
      <c r="C20" s="1736"/>
      <c r="D20" s="1736"/>
      <c r="E20" s="1736">
        <v>859</v>
      </c>
      <c r="F20" s="1736">
        <v>684</v>
      </c>
      <c r="G20" s="1736">
        <v>717</v>
      </c>
      <c r="H20" s="1737">
        <v>829</v>
      </c>
      <c r="I20" s="1737">
        <v>922.26</v>
      </c>
      <c r="J20" s="1735">
        <v>802.32</v>
      </c>
      <c r="K20" s="1738">
        <v>761.84</v>
      </c>
      <c r="L20" s="1739">
        <v>731.25</v>
      </c>
      <c r="M20" s="1739"/>
      <c r="N20" s="1739"/>
      <c r="O20" s="1740">
        <v>799.26</v>
      </c>
      <c r="P20" s="1740">
        <v>1022.3599999999999</v>
      </c>
      <c r="Q20" s="1740">
        <v>879.58</v>
      </c>
      <c r="R20" s="1740">
        <v>996.29</v>
      </c>
      <c r="S20" s="1741"/>
      <c r="T20" s="1742" t="s">
        <v>13</v>
      </c>
      <c r="U20" s="1659"/>
      <c r="V20" s="2135"/>
      <c r="W20" s="339"/>
      <c r="X20" s="2635"/>
    </row>
    <row r="21" spans="1:24" ht="15" customHeight="1" x14ac:dyDescent="0.2">
      <c r="A21" s="2102">
        <v>21</v>
      </c>
      <c r="B21" s="411"/>
      <c r="C21" s="1745">
        <f t="shared" ref="C21:I21" si="0">SUM(C12:C20)</f>
        <v>7636</v>
      </c>
      <c r="D21" s="1745">
        <f t="shared" si="0"/>
        <v>8172</v>
      </c>
      <c r="E21" s="1745">
        <f t="shared" si="0"/>
        <v>8825</v>
      </c>
      <c r="F21" s="1745">
        <f t="shared" si="0"/>
        <v>8483</v>
      </c>
      <c r="G21" s="1745">
        <f t="shared" si="0"/>
        <v>8113</v>
      </c>
      <c r="H21" s="1746">
        <f t="shared" si="0"/>
        <v>9213</v>
      </c>
      <c r="I21" s="1746">
        <f t="shared" si="0"/>
        <v>8601.3799999999992</v>
      </c>
      <c r="J21" s="1745">
        <f t="shared" ref="J21:K21" si="1">SUM(J12:J20)</f>
        <v>7806.23</v>
      </c>
      <c r="K21" s="1746">
        <f t="shared" si="1"/>
        <v>7357.0700000000006</v>
      </c>
      <c r="L21" s="1747">
        <f t="shared" ref="L21:N21" si="2">SUM(L12:L20)</f>
        <v>6554.79</v>
      </c>
      <c r="M21" s="1747">
        <f t="shared" ref="M21" si="3">SUM(M12:M20)</f>
        <v>3011</v>
      </c>
      <c r="N21" s="1747">
        <f t="shared" si="2"/>
        <v>5387</v>
      </c>
      <c r="O21" s="1748">
        <f t="shared" ref="O21:R21" si="4">SUM(O12:O20)</f>
        <v>6353.52</v>
      </c>
      <c r="P21" s="1748">
        <f t="shared" ref="P21" si="5">SUM(P12:P20)</f>
        <v>8383.19</v>
      </c>
      <c r="Q21" s="1748">
        <f t="shared" si="4"/>
        <v>7401.77</v>
      </c>
      <c r="R21" s="1748">
        <f t="shared" si="4"/>
        <v>7312.4</v>
      </c>
      <c r="S21" s="1741"/>
      <c r="T21" s="1749" t="s">
        <v>14</v>
      </c>
      <c r="U21" s="1660">
        <f>SUM(U12:U20)</f>
        <v>0</v>
      </c>
      <c r="V21" s="2136">
        <f>SUM(V12:V20)</f>
        <v>0</v>
      </c>
      <c r="W21" s="1719"/>
      <c r="X21" s="1750"/>
    </row>
    <row r="22" spans="1:24" ht="15" customHeight="1" x14ac:dyDescent="0.2">
      <c r="A22" s="2125">
        <v>22</v>
      </c>
      <c r="B22" s="1751"/>
      <c r="C22" s="1699"/>
      <c r="D22" s="1752"/>
      <c r="E22" s="1699"/>
      <c r="F22" s="1752"/>
      <c r="G22" s="1752"/>
      <c r="H22" s="1753"/>
      <c r="I22" s="1754"/>
      <c r="J22" s="1752"/>
      <c r="K22" s="1752"/>
      <c r="L22" s="1755"/>
      <c r="M22" s="1756"/>
      <c r="N22" s="1756"/>
      <c r="O22" s="1757"/>
      <c r="P22" s="1757"/>
      <c r="Q22" s="1757"/>
      <c r="R22" s="2166"/>
      <c r="S22" s="1741"/>
      <c r="T22" s="1755" t="s">
        <v>3</v>
      </c>
      <c r="U22" s="1687"/>
      <c r="V22" s="2137"/>
      <c r="W22" s="1758"/>
      <c r="X22" s="2636"/>
    </row>
    <row r="23" spans="1:24" x14ac:dyDescent="0.2">
      <c r="A23" s="2102">
        <v>23</v>
      </c>
      <c r="B23" s="132" t="s">
        <v>1398</v>
      </c>
      <c r="C23" s="1736">
        <v>-4865</v>
      </c>
      <c r="D23" s="1736">
        <v>-3466</v>
      </c>
      <c r="E23" s="1736">
        <v>-4375</v>
      </c>
      <c r="F23" s="1736">
        <v>-3277</v>
      </c>
      <c r="G23" s="1736">
        <v>-3036</v>
      </c>
      <c r="H23" s="1737">
        <v>-3682</v>
      </c>
      <c r="I23" s="1737">
        <v>-3472.17</v>
      </c>
      <c r="J23" s="1759">
        <v>-3722</v>
      </c>
      <c r="K23" s="1737">
        <v>-3225.8900000000003</v>
      </c>
      <c r="L23" s="1760">
        <v>-3583.94</v>
      </c>
      <c r="M23" s="1760">
        <v>-3880</v>
      </c>
      <c r="N23" s="1760">
        <v>-3166</v>
      </c>
      <c r="O23" s="1760">
        <v>-4917.83</v>
      </c>
      <c r="P23" s="1760">
        <v>-9417.0400000000009</v>
      </c>
      <c r="Q23" s="1760">
        <v>-10154.51</v>
      </c>
      <c r="R23" s="1760">
        <v>-9886.75</v>
      </c>
      <c r="S23" s="1741"/>
      <c r="T23" s="737" t="s">
        <v>15</v>
      </c>
      <c r="U23" s="1659"/>
      <c r="V23" s="2135"/>
      <c r="W23" s="339"/>
      <c r="X23" s="1750"/>
    </row>
    <row r="24" spans="1:24" x14ac:dyDescent="0.2">
      <c r="A24" s="2125">
        <v>24</v>
      </c>
      <c r="B24" s="132" t="s">
        <v>1399</v>
      </c>
      <c r="C24" s="1736">
        <v>-650</v>
      </c>
      <c r="D24" s="1736">
        <v>-680</v>
      </c>
      <c r="E24" s="1736">
        <v>-700</v>
      </c>
      <c r="F24" s="1736">
        <v>-700</v>
      </c>
      <c r="G24" s="1736">
        <v>-700</v>
      </c>
      <c r="H24" s="1737">
        <v>-700</v>
      </c>
      <c r="I24" s="1737">
        <v>-730</v>
      </c>
      <c r="J24" s="1759">
        <v>-765</v>
      </c>
      <c r="K24" s="1737">
        <v>-790</v>
      </c>
      <c r="L24" s="1760">
        <v>-815</v>
      </c>
      <c r="M24" s="1760">
        <v>-630</v>
      </c>
      <c r="N24" s="1760">
        <v>-630</v>
      </c>
      <c r="O24" s="1760">
        <v>-840</v>
      </c>
      <c r="P24" s="1760">
        <v>-840</v>
      </c>
      <c r="Q24" s="1760">
        <v>-840</v>
      </c>
      <c r="R24" s="1760">
        <v>-840</v>
      </c>
      <c r="S24" s="1741"/>
      <c r="T24" s="737" t="s">
        <v>16</v>
      </c>
      <c r="U24" s="1659"/>
      <c r="V24" s="2135"/>
      <c r="W24" s="339"/>
      <c r="X24" s="1750"/>
    </row>
    <row r="25" spans="1:24" ht="15" customHeight="1" x14ac:dyDescent="0.2">
      <c r="A25" s="2102">
        <v>25</v>
      </c>
      <c r="B25" s="132" t="s">
        <v>1400</v>
      </c>
      <c r="C25" s="1736">
        <v>-119</v>
      </c>
      <c r="D25" s="1736">
        <v>-363</v>
      </c>
      <c r="E25" s="1736">
        <v>-328</v>
      </c>
      <c r="F25" s="1736">
        <v>-675</v>
      </c>
      <c r="G25" s="1736">
        <v>-503</v>
      </c>
      <c r="H25" s="1737">
        <v>-1064</v>
      </c>
      <c r="I25" s="1737">
        <v>-350.08</v>
      </c>
      <c r="J25" s="1759">
        <v>-144</v>
      </c>
      <c r="K25" s="1737">
        <v>-196.21</v>
      </c>
      <c r="L25" s="1760">
        <v>-440.18</v>
      </c>
      <c r="M25" s="1760">
        <v>-458</v>
      </c>
      <c r="N25" s="1760">
        <v>-291</v>
      </c>
      <c r="O25" s="1760">
        <v>-777.27</v>
      </c>
      <c r="P25" s="1760">
        <v>-789.85</v>
      </c>
      <c r="Q25" s="1760">
        <v>-768.33999999999992</v>
      </c>
      <c r="R25" s="1760">
        <v>-350.11</v>
      </c>
      <c r="S25" s="1741"/>
      <c r="T25" s="737" t="s">
        <v>17</v>
      </c>
      <c r="U25" s="1659"/>
      <c r="V25" s="2135"/>
      <c r="W25" s="339"/>
      <c r="X25" s="1750"/>
    </row>
    <row r="26" spans="1:24" ht="15" customHeight="1" x14ac:dyDescent="0.2">
      <c r="A26" s="2125">
        <v>26</v>
      </c>
      <c r="B26" s="132" t="s">
        <v>1401</v>
      </c>
      <c r="C26" s="1736">
        <v>-375</v>
      </c>
      <c r="D26" s="1736">
        <v>-407</v>
      </c>
      <c r="E26" s="1736">
        <v>-300</v>
      </c>
      <c r="F26" s="1736">
        <v>-50</v>
      </c>
      <c r="G26" s="1736">
        <v>-932</v>
      </c>
      <c r="H26" s="1761"/>
      <c r="I26" s="1761">
        <v>-2111.3000000000002</v>
      </c>
      <c r="J26" s="1762">
        <v>-5688</v>
      </c>
      <c r="K26" s="1761">
        <v>-1242.6599999999999</v>
      </c>
      <c r="L26" s="1747">
        <v>-8815</v>
      </c>
      <c r="M26" s="1747">
        <v>-615</v>
      </c>
      <c r="N26" s="1747">
        <v>-1350</v>
      </c>
      <c r="O26" s="1747"/>
      <c r="P26" s="1763"/>
      <c r="Q26" s="1763">
        <v>0</v>
      </c>
      <c r="R26" s="1763">
        <v>0</v>
      </c>
      <c r="S26" s="1741"/>
      <c r="T26" s="1742" t="s">
        <v>978</v>
      </c>
      <c r="U26" s="1659"/>
      <c r="V26" s="2135"/>
      <c r="W26" s="339"/>
      <c r="X26" s="2128"/>
    </row>
    <row r="27" spans="1:24" ht="15" customHeight="1" x14ac:dyDescent="0.2">
      <c r="A27" s="2102">
        <v>27</v>
      </c>
      <c r="B27" s="132" t="s">
        <v>1402</v>
      </c>
      <c r="C27" s="1736">
        <v>-92</v>
      </c>
      <c r="D27" s="1736">
        <v>-253</v>
      </c>
      <c r="E27" s="1736"/>
      <c r="F27" s="1736">
        <v>-393</v>
      </c>
      <c r="G27" s="1736">
        <v>-76</v>
      </c>
      <c r="H27" s="1737">
        <v>-214</v>
      </c>
      <c r="I27" s="1737">
        <v>0</v>
      </c>
      <c r="J27" s="1759">
        <v>0</v>
      </c>
      <c r="K27" s="1737">
        <v>-163.52000000000001</v>
      </c>
      <c r="L27" s="1760">
        <v>-62.49</v>
      </c>
      <c r="M27" s="1760"/>
      <c r="N27" s="1760">
        <v>-6</v>
      </c>
      <c r="O27" s="1760">
        <v>3</v>
      </c>
      <c r="P27" s="1760">
        <v>-71.610000000000014</v>
      </c>
      <c r="Q27" s="1760">
        <v>42</v>
      </c>
      <c r="R27" s="1760">
        <v>7</v>
      </c>
      <c r="S27" s="1741"/>
      <c r="T27" s="737" t="s">
        <v>19</v>
      </c>
      <c r="U27" s="1659"/>
      <c r="V27" s="2135"/>
      <c r="W27" s="339"/>
      <c r="X27" s="1750"/>
    </row>
    <row r="28" spans="1:24" ht="15" customHeight="1" x14ac:dyDescent="0.2">
      <c r="A28" s="2125">
        <v>28</v>
      </c>
      <c r="B28" s="132" t="s">
        <v>1403</v>
      </c>
      <c r="C28" s="1736">
        <v>-305</v>
      </c>
      <c r="D28" s="1736">
        <v>-368</v>
      </c>
      <c r="E28" s="1736">
        <v>-224</v>
      </c>
      <c r="F28" s="1736">
        <v>-205</v>
      </c>
      <c r="G28" s="1736">
        <v>-212</v>
      </c>
      <c r="H28" s="1737">
        <v>-250</v>
      </c>
      <c r="I28" s="1737">
        <v>-276.34000000000003</v>
      </c>
      <c r="J28" s="1759">
        <v>-329</v>
      </c>
      <c r="K28" s="1737">
        <v>-142.34</v>
      </c>
      <c r="L28" s="1760">
        <v>-591.48</v>
      </c>
      <c r="M28" s="1760">
        <v>-29</v>
      </c>
      <c r="N28" s="1760">
        <v>-204</v>
      </c>
      <c r="O28" s="1760">
        <v>-195.67</v>
      </c>
      <c r="P28" s="1760">
        <v>-303.66000000000003</v>
      </c>
      <c r="Q28" s="1760">
        <v>-249.27</v>
      </c>
      <c r="R28" s="1760">
        <v>-148.05999999999995</v>
      </c>
      <c r="S28" s="1741"/>
      <c r="T28" s="737" t="s">
        <v>20</v>
      </c>
      <c r="U28" s="1659"/>
      <c r="V28" s="2135"/>
      <c r="W28" s="339"/>
      <c r="X28" s="1750"/>
    </row>
    <row r="29" spans="1:24" ht="15" customHeight="1" x14ac:dyDescent="0.2">
      <c r="A29" s="2102">
        <v>29</v>
      </c>
      <c r="B29" s="132" t="s">
        <v>1404</v>
      </c>
      <c r="C29" s="1736">
        <f>-179+74</f>
        <v>-105</v>
      </c>
      <c r="D29" s="1736">
        <f>-186+72</f>
        <v>-114</v>
      </c>
      <c r="E29" s="1736">
        <f>72-189</f>
        <v>-117</v>
      </c>
      <c r="F29" s="1736">
        <f>-223+90</f>
        <v>-133</v>
      </c>
      <c r="G29" s="1736">
        <v>-107</v>
      </c>
      <c r="H29" s="1737">
        <v>-34</v>
      </c>
      <c r="I29" s="1737">
        <v>-194</v>
      </c>
      <c r="J29" s="1759">
        <v>-109</v>
      </c>
      <c r="K29" s="1737">
        <v>-99.9</v>
      </c>
      <c r="L29" s="1760">
        <v>-91.5</v>
      </c>
      <c r="M29" s="1760"/>
      <c r="N29" s="1760"/>
      <c r="O29" s="1760">
        <v>-79</v>
      </c>
      <c r="P29" s="1760">
        <v>-65</v>
      </c>
      <c r="Q29" s="1760">
        <v>-38</v>
      </c>
      <c r="R29" s="1760">
        <v>-68</v>
      </c>
      <c r="S29" s="1741"/>
      <c r="T29" s="737" t="s">
        <v>21</v>
      </c>
      <c r="U29" s="1659"/>
      <c r="V29" s="2135"/>
      <c r="W29" s="339"/>
      <c r="X29" s="1750"/>
    </row>
    <row r="30" spans="1:24" ht="15" customHeight="1" x14ac:dyDescent="0.2">
      <c r="A30" s="2125">
        <v>30</v>
      </c>
      <c r="B30" s="132" t="s">
        <v>1405</v>
      </c>
      <c r="C30" s="1736"/>
      <c r="D30" s="1736"/>
      <c r="E30" s="1736"/>
      <c r="F30" s="1736"/>
      <c r="G30" s="1736"/>
      <c r="H30" s="1737"/>
      <c r="I30" s="1737"/>
      <c r="J30" s="1759"/>
      <c r="K30" s="1737"/>
      <c r="L30" s="1760"/>
      <c r="M30" s="1760"/>
      <c r="N30" s="1760">
        <v>-100</v>
      </c>
      <c r="O30" s="1760"/>
      <c r="P30" s="1760">
        <v>0</v>
      </c>
      <c r="Q30" s="1760"/>
      <c r="R30" s="1760"/>
      <c r="S30" s="1741"/>
      <c r="T30" s="737" t="s">
        <v>626</v>
      </c>
      <c r="U30" s="1659"/>
      <c r="V30" s="2135"/>
      <c r="W30" s="339"/>
      <c r="X30" s="1750"/>
    </row>
    <row r="31" spans="1:24" ht="15" customHeight="1" x14ac:dyDescent="0.2">
      <c r="A31" s="2102">
        <v>31</v>
      </c>
      <c r="B31" s="132" t="s">
        <v>1406</v>
      </c>
      <c r="C31" s="1736">
        <v>-25</v>
      </c>
      <c r="D31" s="1736">
        <v>-35</v>
      </c>
      <c r="E31" s="1736">
        <v>-50</v>
      </c>
      <c r="F31" s="1736"/>
      <c r="G31" s="1736">
        <v>-74</v>
      </c>
      <c r="H31" s="1737">
        <v>-96</v>
      </c>
      <c r="I31" s="1737">
        <v>-102.2</v>
      </c>
      <c r="J31" s="1759">
        <v>-92</v>
      </c>
      <c r="K31" s="1737">
        <v>-93.84</v>
      </c>
      <c r="L31" s="1760">
        <v>-60.88</v>
      </c>
      <c r="M31" s="1760"/>
      <c r="N31" s="1760"/>
      <c r="O31" s="1760">
        <v>-60.72</v>
      </c>
      <c r="P31" s="1760">
        <v>-34.14</v>
      </c>
      <c r="Q31" s="1760">
        <v>-30.98</v>
      </c>
      <c r="R31" s="1760">
        <v>-46.980000000000004</v>
      </c>
      <c r="S31" s="1741"/>
      <c r="T31" s="737" t="s">
        <v>22</v>
      </c>
      <c r="U31" s="1659"/>
      <c r="V31" s="2135"/>
      <c r="W31" s="339"/>
      <c r="X31" s="1750"/>
    </row>
    <row r="32" spans="1:24" ht="15" customHeight="1" x14ac:dyDescent="0.2">
      <c r="A32" s="2125">
        <v>32</v>
      </c>
      <c r="B32" s="132" t="s">
        <v>1407</v>
      </c>
      <c r="C32" s="1736"/>
      <c r="D32" s="1736">
        <v>0</v>
      </c>
      <c r="E32" s="1736">
        <v>-72</v>
      </c>
      <c r="F32" s="1736">
        <v>-648</v>
      </c>
      <c r="G32" s="1736"/>
      <c r="H32" s="1737"/>
      <c r="I32" s="1737">
        <v>0</v>
      </c>
      <c r="J32" s="1759">
        <v>-134</v>
      </c>
      <c r="K32" s="1737"/>
      <c r="L32" s="1760">
        <v>-172.8</v>
      </c>
      <c r="M32" s="1760">
        <v>-147</v>
      </c>
      <c r="N32" s="1760"/>
      <c r="O32" s="1760"/>
      <c r="P32" s="1760">
        <v>-214.38</v>
      </c>
      <c r="Q32" s="1760">
        <v>-1060.1199999999999</v>
      </c>
      <c r="R32" s="1760"/>
      <c r="S32" s="1741"/>
      <c r="T32" s="737" t="s">
        <v>23</v>
      </c>
      <c r="U32" s="1659"/>
      <c r="V32" s="2135">
        <f>+'19 Sprinkler System'!L14</f>
        <v>-150</v>
      </c>
      <c r="W32" s="339"/>
      <c r="X32" s="1750"/>
    </row>
    <row r="33" spans="1:24" ht="15" customHeight="1" x14ac:dyDescent="0.2">
      <c r="A33" s="2102">
        <v>33</v>
      </c>
      <c r="B33" s="411"/>
      <c r="C33" s="1745">
        <f t="shared" ref="C33:Q33" si="6">SUM(C23:C32)</f>
        <v>-6536</v>
      </c>
      <c r="D33" s="1745">
        <f t="shared" si="6"/>
        <v>-5686</v>
      </c>
      <c r="E33" s="1745">
        <f t="shared" si="6"/>
        <v>-6166</v>
      </c>
      <c r="F33" s="1745">
        <f t="shared" si="6"/>
        <v>-6081</v>
      </c>
      <c r="G33" s="1745">
        <f t="shared" si="6"/>
        <v>-5640</v>
      </c>
      <c r="H33" s="1746">
        <f t="shared" si="6"/>
        <v>-6040</v>
      </c>
      <c r="I33" s="1746">
        <f t="shared" si="6"/>
        <v>-7236.09</v>
      </c>
      <c r="J33" s="1745">
        <f t="shared" si="6"/>
        <v>-10983</v>
      </c>
      <c r="K33" s="1746">
        <f t="shared" si="6"/>
        <v>-5954.3600000000006</v>
      </c>
      <c r="L33" s="1747">
        <f t="shared" si="6"/>
        <v>-14633.269999999999</v>
      </c>
      <c r="M33" s="1747">
        <f t="shared" si="6"/>
        <v>-5759</v>
      </c>
      <c r="N33" s="1747">
        <f t="shared" si="6"/>
        <v>-5747</v>
      </c>
      <c r="O33" s="1747">
        <f t="shared" ref="O33:P33" si="7">SUM(O23:O32)</f>
        <v>-6867.4900000000007</v>
      </c>
      <c r="P33" s="1747">
        <f t="shared" si="7"/>
        <v>-11735.68</v>
      </c>
      <c r="Q33" s="1747">
        <f t="shared" si="6"/>
        <v>-13099.220000000001</v>
      </c>
      <c r="R33" s="1747">
        <f t="shared" ref="R33" si="8">SUM(R23:R32)</f>
        <v>-11332.9</v>
      </c>
      <c r="S33" s="1764"/>
      <c r="T33" s="1749" t="s">
        <v>24</v>
      </c>
      <c r="U33" s="1662">
        <f>SUM(U23:U32)</f>
        <v>0</v>
      </c>
      <c r="V33" s="2138">
        <f>SUM(V23:V32)</f>
        <v>-150</v>
      </c>
      <c r="W33" s="1719"/>
      <c r="X33" s="1750"/>
    </row>
    <row r="34" spans="1:24" ht="15" customHeight="1" thickBot="1" x14ac:dyDescent="0.25">
      <c r="A34" s="2125">
        <v>34</v>
      </c>
      <c r="B34" s="338"/>
      <c r="C34" s="1765">
        <f t="shared" ref="C34:Q34" si="9">+C33+C21</f>
        <v>1100</v>
      </c>
      <c r="D34" s="1765">
        <f t="shared" si="9"/>
        <v>2486</v>
      </c>
      <c r="E34" s="1765">
        <f t="shared" si="9"/>
        <v>2659</v>
      </c>
      <c r="F34" s="1765">
        <f t="shared" si="9"/>
        <v>2402</v>
      </c>
      <c r="G34" s="1765">
        <f t="shared" si="9"/>
        <v>2473</v>
      </c>
      <c r="H34" s="1766">
        <f t="shared" si="9"/>
        <v>3173</v>
      </c>
      <c r="I34" s="1766">
        <f t="shared" si="9"/>
        <v>1365.2899999999991</v>
      </c>
      <c r="J34" s="1765">
        <f t="shared" si="9"/>
        <v>-3176.7700000000004</v>
      </c>
      <c r="K34" s="1766">
        <f t="shared" si="9"/>
        <v>1402.71</v>
      </c>
      <c r="L34" s="1747">
        <f t="shared" si="9"/>
        <v>-8078.4799999999987</v>
      </c>
      <c r="M34" s="1747">
        <f t="shared" si="9"/>
        <v>-2748</v>
      </c>
      <c r="N34" s="1747">
        <f t="shared" si="9"/>
        <v>-360</v>
      </c>
      <c r="O34" s="1747">
        <f t="shared" ref="O34:P34" si="10">+O33+O21</f>
        <v>-513.97000000000025</v>
      </c>
      <c r="P34" s="1747">
        <f t="shared" si="10"/>
        <v>-3352.49</v>
      </c>
      <c r="Q34" s="1747">
        <f t="shared" si="9"/>
        <v>-5697.4500000000007</v>
      </c>
      <c r="R34" s="1747">
        <f t="shared" ref="R34" si="11">+R33+R21</f>
        <v>-4020.5</v>
      </c>
      <c r="S34" s="1767"/>
      <c r="T34" s="1768" t="s">
        <v>25</v>
      </c>
      <c r="U34" s="1660">
        <f>+U33+U21</f>
        <v>0</v>
      </c>
      <c r="V34" s="2136">
        <f>+V33+V21</f>
        <v>-150</v>
      </c>
      <c r="W34" s="1410"/>
      <c r="X34" s="2637"/>
    </row>
    <row r="35" spans="1:24" ht="15" customHeight="1" thickTop="1" x14ac:dyDescent="0.2">
      <c r="A35" s="2102">
        <v>35</v>
      </c>
      <c r="B35" s="1720"/>
      <c r="C35" s="1699"/>
      <c r="D35" s="1769"/>
      <c r="E35" s="1699"/>
      <c r="F35" s="1769"/>
      <c r="G35" s="1769"/>
      <c r="H35" s="1753"/>
      <c r="I35" s="1754"/>
      <c r="J35" s="1769"/>
      <c r="K35" s="1769"/>
      <c r="L35" s="1723"/>
      <c r="M35" s="1724"/>
      <c r="N35" s="1724"/>
      <c r="O35" s="1725"/>
      <c r="P35" s="1725"/>
      <c r="Q35" s="1725"/>
      <c r="R35" s="2164"/>
      <c r="S35" s="1767"/>
      <c r="T35" s="1723" t="s">
        <v>26</v>
      </c>
      <c r="U35" s="1685"/>
      <c r="V35" s="2133"/>
      <c r="W35" s="1726"/>
      <c r="X35" s="2631"/>
    </row>
    <row r="36" spans="1:24" ht="15" customHeight="1" x14ac:dyDescent="0.2">
      <c r="A36" s="2125">
        <v>36</v>
      </c>
      <c r="B36" s="1770"/>
      <c r="C36" s="1699"/>
      <c r="D36" s="1771"/>
      <c r="E36" s="1699"/>
      <c r="F36" s="1771"/>
      <c r="G36" s="1771"/>
      <c r="H36" s="1753"/>
      <c r="I36" s="1754"/>
      <c r="J36" s="1771"/>
      <c r="K36" s="1771"/>
      <c r="L36" s="1772"/>
      <c r="M36" s="1773"/>
      <c r="N36" s="1773"/>
      <c r="O36" s="1774"/>
      <c r="P36" s="1774"/>
      <c r="Q36" s="1774"/>
      <c r="R36" s="2168"/>
      <c r="S36" s="1767"/>
      <c r="T36" s="1772" t="s">
        <v>2</v>
      </c>
      <c r="U36" s="1688"/>
      <c r="V36" s="2139"/>
      <c r="W36" s="1775"/>
      <c r="X36" s="2638"/>
    </row>
    <row r="37" spans="1:24" ht="15" customHeight="1" x14ac:dyDescent="0.2">
      <c r="A37" s="2102">
        <v>37</v>
      </c>
      <c r="B37" s="132" t="s">
        <v>1408</v>
      </c>
      <c r="C37" s="1739">
        <v>33</v>
      </c>
      <c r="D37" s="1739">
        <v>27</v>
      </c>
      <c r="E37" s="1739">
        <v>126</v>
      </c>
      <c r="F37" s="1739">
        <v>91</v>
      </c>
      <c r="G37" s="1739">
        <v>134</v>
      </c>
      <c r="H37" s="1776"/>
      <c r="I37" s="1776">
        <v>0</v>
      </c>
      <c r="J37" s="1777">
        <v>3</v>
      </c>
      <c r="K37" s="1778">
        <v>27.339999999999918</v>
      </c>
      <c r="L37" s="1779">
        <v>0</v>
      </c>
      <c r="M37" s="1779">
        <v>0</v>
      </c>
      <c r="N37" s="1779">
        <v>0</v>
      </c>
      <c r="O37" s="1779"/>
      <c r="P37" s="1779">
        <v>0</v>
      </c>
      <c r="Q37" s="1779">
        <v>0</v>
      </c>
      <c r="R37" s="1779">
        <v>124.5</v>
      </c>
      <c r="S37" s="1767"/>
      <c r="T37" s="1742" t="s">
        <v>27</v>
      </c>
      <c r="U37" s="1659"/>
      <c r="V37" s="2135">
        <f>+'20 Annual Dinner'!Q21</f>
        <v>0</v>
      </c>
      <c r="W37" s="339"/>
      <c r="X37" s="2635"/>
    </row>
    <row r="38" spans="1:24" ht="15" customHeight="1" x14ac:dyDescent="0.2">
      <c r="A38" s="2125">
        <v>38</v>
      </c>
      <c r="B38" s="132" t="s">
        <v>1409</v>
      </c>
      <c r="C38" s="1736">
        <v>1121</v>
      </c>
      <c r="D38" s="1736">
        <v>1174</v>
      </c>
      <c r="E38" s="1736">
        <v>1271</v>
      </c>
      <c r="F38" s="1736">
        <v>1125</v>
      </c>
      <c r="G38" s="1736">
        <v>1183</v>
      </c>
      <c r="H38" s="1737">
        <v>1401</v>
      </c>
      <c r="I38" s="1737">
        <v>1197.2499999999998</v>
      </c>
      <c r="J38" s="1735">
        <v>1148.25</v>
      </c>
      <c r="K38" s="1778">
        <v>716.36999999999966</v>
      </c>
      <c r="L38" s="1779">
        <v>1020.46</v>
      </c>
      <c r="M38" s="1779">
        <v>37</v>
      </c>
      <c r="N38" s="1779">
        <v>711</v>
      </c>
      <c r="O38" s="1779">
        <v>1663.4</v>
      </c>
      <c r="P38" s="1779">
        <v>2035.99</v>
      </c>
      <c r="Q38" s="1779">
        <v>1978.0300000000002</v>
      </c>
      <c r="R38" s="1779">
        <v>1796.6299999999999</v>
      </c>
      <c r="S38" s="1741"/>
      <c r="T38" s="1742" t="s">
        <v>29</v>
      </c>
      <c r="U38" s="1659"/>
      <c r="V38" s="2135">
        <f>+'21 Plant Sale'!N26</f>
        <v>2000</v>
      </c>
      <c r="W38" s="339"/>
      <c r="X38" s="2635"/>
    </row>
    <row r="39" spans="1:24" ht="15" customHeight="1" x14ac:dyDescent="0.2">
      <c r="A39" s="2102">
        <v>39</v>
      </c>
      <c r="B39" s="132" t="s">
        <v>1410</v>
      </c>
      <c r="C39" s="1739">
        <v>1827</v>
      </c>
      <c r="D39" s="1739">
        <v>1820</v>
      </c>
      <c r="E39" s="1739">
        <v>1514</v>
      </c>
      <c r="F39" s="1739">
        <v>1555</v>
      </c>
      <c r="G39" s="1739">
        <v>1545</v>
      </c>
      <c r="H39" s="1737">
        <v>1424</v>
      </c>
      <c r="I39" s="1737">
        <v>599.39</v>
      </c>
      <c r="J39" s="1777">
        <v>884</v>
      </c>
      <c r="K39" s="1778">
        <v>1067.81</v>
      </c>
      <c r="L39" s="1779">
        <v>1057.6199999999999</v>
      </c>
      <c r="M39" s="1779"/>
      <c r="N39" s="1779">
        <v>600</v>
      </c>
      <c r="O39" s="1779">
        <v>631</v>
      </c>
      <c r="P39" s="1779">
        <v>1438.74</v>
      </c>
      <c r="Q39" s="1779">
        <v>1268.6999999999998</v>
      </c>
      <c r="R39" s="1779">
        <v>1427.1599999999999</v>
      </c>
      <c r="S39" s="1741"/>
      <c r="T39" s="1742" t="s">
        <v>30</v>
      </c>
      <c r="U39" s="1659"/>
      <c r="V39" s="2135">
        <f>+'22 Quiz Nights'!T25</f>
        <v>1250</v>
      </c>
      <c r="W39" s="339"/>
      <c r="X39" s="2635"/>
    </row>
    <row r="40" spans="1:24" ht="15" customHeight="1" x14ac:dyDescent="0.2">
      <c r="A40" s="2125">
        <v>40</v>
      </c>
      <c r="B40" s="132" t="s">
        <v>1411</v>
      </c>
      <c r="C40" s="1739">
        <v>2341</v>
      </c>
      <c r="D40" s="1739"/>
      <c r="E40" s="1739">
        <v>3040</v>
      </c>
      <c r="F40" s="1739"/>
      <c r="G40" s="1736">
        <v>2814</v>
      </c>
      <c r="H40" s="1737"/>
      <c r="I40" s="1737">
        <v>2246.38</v>
      </c>
      <c r="J40" s="1777">
        <v>0</v>
      </c>
      <c r="K40" s="1778">
        <v>2391.92</v>
      </c>
      <c r="L40" s="1779">
        <v>0</v>
      </c>
      <c r="M40" s="1779">
        <v>2036</v>
      </c>
      <c r="N40" s="1779">
        <v>0</v>
      </c>
      <c r="O40" s="1779">
        <v>2385.77</v>
      </c>
      <c r="P40" s="1779" t="s">
        <v>1113</v>
      </c>
      <c r="Q40" s="1779">
        <v>2632.46</v>
      </c>
      <c r="R40" s="1779">
        <v>50</v>
      </c>
      <c r="S40" s="1741"/>
      <c r="T40" s="1742" t="s">
        <v>31</v>
      </c>
      <c r="U40" s="1659"/>
      <c r="V40" s="2135">
        <f>+'23 Race Night'!T34</f>
        <v>0</v>
      </c>
      <c r="W40" s="339"/>
      <c r="X40" s="2635"/>
    </row>
    <row r="41" spans="1:24" ht="15" customHeight="1" x14ac:dyDescent="0.2">
      <c r="A41" s="2102">
        <v>41</v>
      </c>
      <c r="B41" s="132" t="s">
        <v>1412</v>
      </c>
      <c r="C41" s="1736">
        <v>897</v>
      </c>
      <c r="D41" s="1736">
        <v>683</v>
      </c>
      <c r="E41" s="1736">
        <v>397</v>
      </c>
      <c r="F41" s="1739">
        <v>833</v>
      </c>
      <c r="G41" s="1736">
        <v>1058</v>
      </c>
      <c r="H41" s="1737">
        <v>801</v>
      </c>
      <c r="I41" s="1737">
        <v>717.93</v>
      </c>
      <c r="J41" s="1777">
        <v>573</v>
      </c>
      <c r="K41" s="1778">
        <v>481.25000000000006</v>
      </c>
      <c r="L41" s="1779">
        <v>740.9899999999999</v>
      </c>
      <c r="M41" s="1779"/>
      <c r="N41" s="1779">
        <v>237</v>
      </c>
      <c r="O41" s="1779">
        <v>516.15</v>
      </c>
      <c r="P41" s="1779">
        <v>656.18</v>
      </c>
      <c r="Q41" s="1779">
        <v>831.86</v>
      </c>
      <c r="R41" s="1779">
        <v>1309.3499999999999</v>
      </c>
      <c r="S41" s="1741"/>
      <c r="T41" s="1742" t="s">
        <v>32</v>
      </c>
      <c r="U41" s="1659"/>
      <c r="V41" s="2135">
        <f>+'24 Social Events - Other'!O47</f>
        <v>750</v>
      </c>
      <c r="W41" s="339"/>
      <c r="X41" s="2635"/>
    </row>
    <row r="42" spans="1:24" ht="15" customHeight="1" x14ac:dyDescent="0.2">
      <c r="A42" s="2125">
        <v>42</v>
      </c>
      <c r="B42" s="132" t="s">
        <v>1413</v>
      </c>
      <c r="C42" s="1736"/>
      <c r="D42" s="1736">
        <v>90</v>
      </c>
      <c r="E42" s="1736">
        <v>10</v>
      </c>
      <c r="F42" s="1739">
        <v>2</v>
      </c>
      <c r="G42" s="1736">
        <v>10</v>
      </c>
      <c r="H42" s="1737">
        <v>14</v>
      </c>
      <c r="I42" s="1737">
        <v>13.8</v>
      </c>
      <c r="J42" s="1777">
        <v>3</v>
      </c>
      <c r="K42" s="1778">
        <v>10</v>
      </c>
      <c r="L42" s="1779">
        <v>0</v>
      </c>
      <c r="M42" s="1779">
        <v>10</v>
      </c>
      <c r="N42" s="1779"/>
      <c r="O42" s="1779"/>
      <c r="P42" s="1779">
        <v>0</v>
      </c>
      <c r="Q42" s="1779">
        <v>0</v>
      </c>
      <c r="R42" s="1779">
        <v>0</v>
      </c>
      <c r="S42" s="1741"/>
      <c r="T42" s="1742" t="s">
        <v>890</v>
      </c>
      <c r="U42" s="1659"/>
      <c r="V42" s="2135">
        <f>+'25 Sale of Books &amp; Noteletts'!P11</f>
        <v>0</v>
      </c>
      <c r="W42" s="339"/>
      <c r="X42" s="2635"/>
    </row>
    <row r="43" spans="1:24" ht="15" customHeight="1" x14ac:dyDescent="0.2">
      <c r="A43" s="2102">
        <v>43</v>
      </c>
      <c r="B43" s="132" t="s">
        <v>1414</v>
      </c>
      <c r="C43" s="1739">
        <v>2026</v>
      </c>
      <c r="D43" s="1739">
        <v>2374</v>
      </c>
      <c r="E43" s="1736">
        <v>2051</v>
      </c>
      <c r="F43" s="1739">
        <v>1635</v>
      </c>
      <c r="G43" s="1736">
        <v>2550</v>
      </c>
      <c r="H43" s="1737">
        <v>2000</v>
      </c>
      <c r="I43" s="1737">
        <v>2000</v>
      </c>
      <c r="J43" s="1777">
        <v>3000</v>
      </c>
      <c r="K43" s="1778">
        <v>1500</v>
      </c>
      <c r="L43" s="1779">
        <v>2000</v>
      </c>
      <c r="M43" s="1779">
        <v>2000</v>
      </c>
      <c r="N43" s="1779">
        <v>2300</v>
      </c>
      <c r="O43" s="1779">
        <v>2000</v>
      </c>
      <c r="P43" s="1779">
        <v>2000</v>
      </c>
      <c r="Q43" s="1779">
        <v>2000</v>
      </c>
      <c r="R43" s="1779">
        <v>2000</v>
      </c>
      <c r="S43" s="1741"/>
      <c r="T43" s="1742" t="s">
        <v>34</v>
      </c>
      <c r="U43" s="1659"/>
      <c r="V43" s="2135">
        <f>+'27 LAV'!R7</f>
        <v>2000</v>
      </c>
      <c r="W43" s="339"/>
      <c r="X43" s="2635"/>
    </row>
    <row r="44" spans="1:24" ht="15" customHeight="1" x14ac:dyDescent="0.2">
      <c r="A44" s="2125">
        <v>44</v>
      </c>
      <c r="B44" s="132" t="s">
        <v>1415</v>
      </c>
      <c r="C44" s="1736"/>
      <c r="D44" s="1736"/>
      <c r="E44" s="1736"/>
      <c r="F44" s="1739"/>
      <c r="G44" s="1736"/>
      <c r="H44" s="1737"/>
      <c r="I44" s="1737"/>
      <c r="J44" s="1777">
        <v>527</v>
      </c>
      <c r="K44" s="1738">
        <v>0</v>
      </c>
      <c r="L44" s="1739">
        <v>0</v>
      </c>
      <c r="M44" s="1739"/>
      <c r="N44" s="1739"/>
      <c r="O44" s="1739"/>
      <c r="P44" s="1739">
        <v>0</v>
      </c>
      <c r="Q44" s="1739"/>
      <c r="R44" s="1739">
        <v>0</v>
      </c>
      <c r="S44" s="1741"/>
      <c r="T44" s="339" t="s">
        <v>900</v>
      </c>
      <c r="U44" s="1659"/>
      <c r="V44" s="2135">
        <f>+'26 100 Quiz'!K10</f>
        <v>0</v>
      </c>
      <c r="W44" s="339"/>
      <c r="X44" s="2635"/>
    </row>
    <row r="45" spans="1:24" ht="15" customHeight="1" x14ac:dyDescent="0.2">
      <c r="A45" s="2102">
        <v>45</v>
      </c>
      <c r="B45" s="411"/>
      <c r="C45" s="1745">
        <f t="shared" ref="C45:I45" si="12">SUM(C37:C44)</f>
        <v>8245</v>
      </c>
      <c r="D45" s="1745">
        <f t="shared" si="12"/>
        <v>6168</v>
      </c>
      <c r="E45" s="1745">
        <f t="shared" si="12"/>
        <v>8409</v>
      </c>
      <c r="F45" s="1745">
        <f t="shared" si="12"/>
        <v>5241</v>
      </c>
      <c r="G45" s="1745">
        <f t="shared" si="12"/>
        <v>9294</v>
      </c>
      <c r="H45" s="1746">
        <f t="shared" si="12"/>
        <v>5640</v>
      </c>
      <c r="I45" s="1746">
        <f t="shared" si="12"/>
        <v>6774.75</v>
      </c>
      <c r="J45" s="1745">
        <f t="shared" ref="J45:K45" si="13">SUM(J37:J44)</f>
        <v>6138.25</v>
      </c>
      <c r="K45" s="1746">
        <f t="shared" si="13"/>
        <v>6194.69</v>
      </c>
      <c r="L45" s="1747">
        <f t="shared" ref="L45:N45" si="14">SUM(L37:L44)</f>
        <v>4819.07</v>
      </c>
      <c r="M45" s="1747">
        <f t="shared" ref="M45" si="15">SUM(M37:M44)</f>
        <v>4083</v>
      </c>
      <c r="N45" s="1747">
        <f t="shared" si="14"/>
        <v>3848</v>
      </c>
      <c r="O45" s="1747">
        <f t="shared" ref="O45:R45" si="16">SUM(O37:O44)</f>
        <v>7196.32</v>
      </c>
      <c r="P45" s="1747">
        <f t="shared" ref="P45" si="17">SUM(P37:P44)</f>
        <v>6130.91</v>
      </c>
      <c r="Q45" s="1747">
        <f t="shared" si="16"/>
        <v>8711.0499999999993</v>
      </c>
      <c r="R45" s="1747">
        <f t="shared" si="16"/>
        <v>6707.6399999999994</v>
      </c>
      <c r="S45" s="1741"/>
      <c r="T45" s="1749" t="s">
        <v>14</v>
      </c>
      <c r="U45" s="1660">
        <f>SUM(U37:U44)</f>
        <v>0</v>
      </c>
      <c r="V45" s="2136">
        <f>SUM(V37:V44)</f>
        <v>6000</v>
      </c>
      <c r="W45" s="1719"/>
      <c r="X45" s="1750"/>
    </row>
    <row r="46" spans="1:24" ht="15" customHeight="1" x14ac:dyDescent="0.2">
      <c r="A46" s="2125">
        <v>46</v>
      </c>
      <c r="B46" s="1780"/>
      <c r="C46" s="1699"/>
      <c r="D46" s="1752"/>
      <c r="E46" s="1699"/>
      <c r="F46" s="1752"/>
      <c r="G46" s="1752"/>
      <c r="H46" s="1753"/>
      <c r="I46" s="1754"/>
      <c r="J46" s="1752"/>
      <c r="K46" s="1752"/>
      <c r="L46" s="1781"/>
      <c r="M46" s="1782"/>
      <c r="N46" s="1782"/>
      <c r="O46" s="1782"/>
      <c r="P46" s="1782"/>
      <c r="Q46" s="1782"/>
      <c r="R46" s="1782"/>
      <c r="S46" s="1741"/>
      <c r="T46" s="1782"/>
      <c r="U46" s="1689"/>
      <c r="V46" s="2140"/>
      <c r="W46" s="1783"/>
      <c r="X46" s="2638"/>
    </row>
    <row r="47" spans="1:24" ht="15" customHeight="1" x14ac:dyDescent="0.2">
      <c r="A47" s="2102">
        <v>47</v>
      </c>
      <c r="B47" s="132" t="s">
        <v>1416</v>
      </c>
      <c r="C47" s="1736">
        <v>-577</v>
      </c>
      <c r="D47" s="1736">
        <v>-597</v>
      </c>
      <c r="E47" s="1736">
        <v>-618</v>
      </c>
      <c r="F47" s="1736">
        <v>-640</v>
      </c>
      <c r="G47" s="1736">
        <v>-1229</v>
      </c>
      <c r="H47" s="1737">
        <v>-734</v>
      </c>
      <c r="I47" s="1737">
        <v>-702.68</v>
      </c>
      <c r="J47" s="1759">
        <v>-740</v>
      </c>
      <c r="K47" s="1737">
        <v>-740.4</v>
      </c>
      <c r="L47" s="1760">
        <v>-748.82</v>
      </c>
      <c r="M47" s="1760">
        <v>-774</v>
      </c>
      <c r="N47" s="1760">
        <v>-832.91</v>
      </c>
      <c r="O47" s="1760">
        <v>-859.49</v>
      </c>
      <c r="P47" s="1760">
        <v>-849.67</v>
      </c>
      <c r="Q47" s="1760">
        <v>-856.48</v>
      </c>
      <c r="R47" s="1760">
        <v>-896.54</v>
      </c>
      <c r="S47" s="1741"/>
      <c r="T47" s="737" t="s">
        <v>36</v>
      </c>
      <c r="U47" s="1659"/>
      <c r="V47" s="2135"/>
      <c r="W47" s="339"/>
      <c r="X47" s="2635"/>
    </row>
    <row r="48" spans="1:24" ht="15" customHeight="1" x14ac:dyDescent="0.2">
      <c r="A48" s="2125">
        <v>48</v>
      </c>
      <c r="B48" s="132" t="s">
        <v>1417</v>
      </c>
      <c r="C48" s="1736">
        <v>-50</v>
      </c>
      <c r="D48" s="1736">
        <v>-97</v>
      </c>
      <c r="E48" s="1736">
        <v>-86</v>
      </c>
      <c r="F48" s="1736">
        <v>-147</v>
      </c>
      <c r="G48" s="1736">
        <v>-217</v>
      </c>
      <c r="H48" s="1737">
        <v>-259</v>
      </c>
      <c r="I48" s="1737">
        <v>-187.11</v>
      </c>
      <c r="J48" s="1759">
        <v>-231</v>
      </c>
      <c r="K48" s="1737">
        <v>-216.54</v>
      </c>
      <c r="L48" s="1760">
        <v>-288.15000000000003</v>
      </c>
      <c r="M48" s="1760">
        <v>-195</v>
      </c>
      <c r="N48" s="1760">
        <v>-267</v>
      </c>
      <c r="O48" s="1760">
        <v>-318.83999999999997</v>
      </c>
      <c r="P48" s="1760">
        <v>-671.5</v>
      </c>
      <c r="Q48" s="1760">
        <v>-403.41</v>
      </c>
      <c r="R48" s="1760">
        <v>-398.96</v>
      </c>
      <c r="S48" s="1741"/>
      <c r="T48" s="737" t="s">
        <v>37</v>
      </c>
      <c r="U48" s="1659"/>
      <c r="V48" s="2135"/>
      <c r="W48" s="339"/>
      <c r="X48" s="2635"/>
    </row>
    <row r="49" spans="1:24" ht="15" customHeight="1" x14ac:dyDescent="0.2">
      <c r="A49" s="2102">
        <v>49</v>
      </c>
      <c r="B49" s="132" t="s">
        <v>1419</v>
      </c>
      <c r="C49" s="1736">
        <v>-488</v>
      </c>
      <c r="D49" s="1736">
        <v>-393</v>
      </c>
      <c r="E49" s="1736">
        <v>-265</v>
      </c>
      <c r="F49" s="1736">
        <v>-341</v>
      </c>
      <c r="G49" s="1736">
        <v>-450</v>
      </c>
      <c r="H49" s="1737">
        <v>-353</v>
      </c>
      <c r="I49" s="1737">
        <v>-469</v>
      </c>
      <c r="J49" s="1759">
        <v>-306</v>
      </c>
      <c r="K49" s="1737">
        <v>-448.5</v>
      </c>
      <c r="L49" s="1760">
        <v>-475.5</v>
      </c>
      <c r="M49" s="1760">
        <v>-193</v>
      </c>
      <c r="N49" s="1760">
        <v>-69</v>
      </c>
      <c r="O49" s="1760">
        <v>-561.5</v>
      </c>
      <c r="P49" s="1760">
        <v>-317.5</v>
      </c>
      <c r="Q49" s="1760">
        <v>-283.25</v>
      </c>
      <c r="R49" s="1760">
        <v>-303.5</v>
      </c>
      <c r="S49" s="1741"/>
      <c r="T49" s="737" t="s">
        <v>38</v>
      </c>
      <c r="U49" s="1659"/>
      <c r="V49" s="2135"/>
      <c r="W49" s="339"/>
      <c r="X49" s="2635"/>
    </row>
    <row r="50" spans="1:24" ht="15" customHeight="1" x14ac:dyDescent="0.2">
      <c r="A50" s="2125">
        <v>50</v>
      </c>
      <c r="B50" s="132" t="s">
        <v>1420</v>
      </c>
      <c r="C50" s="1736">
        <v>-63</v>
      </c>
      <c r="D50" s="1736">
        <v>-1173</v>
      </c>
      <c r="E50" s="1736">
        <v>-183</v>
      </c>
      <c r="F50" s="1736">
        <v>-36</v>
      </c>
      <c r="G50" s="1736">
        <v>-351</v>
      </c>
      <c r="H50" s="1737">
        <v>-196</v>
      </c>
      <c r="I50" s="1737">
        <v>112</v>
      </c>
      <c r="J50" s="1759">
        <v>-12</v>
      </c>
      <c r="K50" s="1737">
        <v>-307</v>
      </c>
      <c r="L50" s="1760">
        <v>-190.99</v>
      </c>
      <c r="M50" s="1760">
        <v>-101</v>
      </c>
      <c r="N50" s="1760">
        <v>-20</v>
      </c>
      <c r="O50" s="1760">
        <v>-85.7</v>
      </c>
      <c r="P50" s="1760">
        <v>-30</v>
      </c>
      <c r="Q50" s="1760">
        <v>-30</v>
      </c>
      <c r="R50" s="1760">
        <v>-403.16</v>
      </c>
      <c r="S50" s="1741"/>
      <c r="T50" s="737" t="s">
        <v>39</v>
      </c>
      <c r="U50" s="1659"/>
      <c r="V50" s="2135"/>
      <c r="W50" s="339"/>
      <c r="X50" s="2635"/>
    </row>
    <row r="51" spans="1:24" ht="15" customHeight="1" x14ac:dyDescent="0.2">
      <c r="A51" s="2102">
        <v>51</v>
      </c>
      <c r="B51" s="132" t="s">
        <v>1421</v>
      </c>
      <c r="C51" s="1736">
        <v>-124</v>
      </c>
      <c r="D51" s="1736">
        <v>-127</v>
      </c>
      <c r="E51" s="1736">
        <v>-497</v>
      </c>
      <c r="F51" s="1736">
        <v>-5449</v>
      </c>
      <c r="G51" s="1736">
        <v>-5037</v>
      </c>
      <c r="H51" s="1737">
        <v>-1547</v>
      </c>
      <c r="I51" s="1737">
        <v>-1012.6500000000003</v>
      </c>
      <c r="J51" s="1759">
        <v>-1135</v>
      </c>
      <c r="K51" s="1737">
        <v>-649.69000000000005</v>
      </c>
      <c r="L51" s="1760">
        <v>-1087.2800000000002</v>
      </c>
      <c r="M51" s="1760">
        <v>-424</v>
      </c>
      <c r="N51" s="1760">
        <v>-371.48</v>
      </c>
      <c r="O51" s="1760">
        <v>-349.58</v>
      </c>
      <c r="P51" s="1760">
        <v>-235.02</v>
      </c>
      <c r="Q51" s="1760">
        <v>-302.36</v>
      </c>
      <c r="R51" s="1760">
        <v>-654.64</v>
      </c>
      <c r="S51" s="1741"/>
      <c r="T51" s="737" t="s">
        <v>40</v>
      </c>
      <c r="U51" s="1659"/>
      <c r="V51" s="2135"/>
      <c r="W51" s="339"/>
      <c r="X51" s="2635"/>
    </row>
    <row r="52" spans="1:24" ht="15" customHeight="1" x14ac:dyDescent="0.2">
      <c r="A52" s="2125">
        <v>52</v>
      </c>
      <c r="B52" s="132" t="s">
        <v>1422</v>
      </c>
      <c r="C52" s="1736">
        <v>-342</v>
      </c>
      <c r="D52" s="1736">
        <v>-481</v>
      </c>
      <c r="E52" s="1736">
        <v>-92</v>
      </c>
      <c r="F52" s="1736">
        <v>-284</v>
      </c>
      <c r="G52" s="1736"/>
      <c r="H52" s="1737">
        <v>-265</v>
      </c>
      <c r="I52" s="1737">
        <v>-244.44</v>
      </c>
      <c r="J52" s="1759">
        <v>-447</v>
      </c>
      <c r="K52" s="1737">
        <v>-398.02</v>
      </c>
      <c r="L52" s="1760">
        <v>-280.25</v>
      </c>
      <c r="M52" s="1760">
        <v>-360</v>
      </c>
      <c r="N52" s="1760"/>
      <c r="O52" s="1760">
        <v>-784.53</v>
      </c>
      <c r="P52" s="1760">
        <v>-180.11</v>
      </c>
      <c r="Q52" s="1760">
        <v>-343.4</v>
      </c>
      <c r="R52" s="1760">
        <v>-345.44</v>
      </c>
      <c r="S52" s="1741"/>
      <c r="T52" s="737" t="s">
        <v>41</v>
      </c>
      <c r="U52" s="1659"/>
      <c r="V52" s="2135"/>
      <c r="W52" s="339"/>
      <c r="X52" s="2635"/>
    </row>
    <row r="53" spans="1:24" ht="15" customHeight="1" x14ac:dyDescent="0.2">
      <c r="A53" s="2102">
        <v>53</v>
      </c>
      <c r="B53" s="132" t="s">
        <v>1423</v>
      </c>
      <c r="C53" s="1736">
        <v>-121</v>
      </c>
      <c r="D53" s="1736">
        <v>-349</v>
      </c>
      <c r="E53" s="1736">
        <v>-359</v>
      </c>
      <c r="F53" s="1736">
        <v>-357</v>
      </c>
      <c r="G53" s="1736">
        <v>-685</v>
      </c>
      <c r="H53" s="1737">
        <v>-489</v>
      </c>
      <c r="I53" s="1737">
        <v>-539.70000000000005</v>
      </c>
      <c r="J53" s="1759">
        <v>-223</v>
      </c>
      <c r="K53" s="1737">
        <v>-316.2</v>
      </c>
      <c r="L53" s="1760">
        <v>-416.10999999999984</v>
      </c>
      <c r="M53" s="1760">
        <v>-434</v>
      </c>
      <c r="N53" s="1760">
        <v>-586</v>
      </c>
      <c r="O53" s="1760">
        <v>-488.75</v>
      </c>
      <c r="P53" s="1760">
        <v>-518.40000000000009</v>
      </c>
      <c r="Q53" s="1760">
        <v>-518.39999999999986</v>
      </c>
      <c r="R53" s="1760">
        <v>-693.98</v>
      </c>
      <c r="S53" s="1741"/>
      <c r="T53" s="737" t="s">
        <v>42</v>
      </c>
      <c r="U53" s="1659"/>
      <c r="V53" s="2135"/>
      <c r="W53" s="339"/>
      <c r="X53" s="2635"/>
    </row>
    <row r="54" spans="1:24" ht="15" customHeight="1" x14ac:dyDescent="0.2">
      <c r="A54" s="2125">
        <v>54</v>
      </c>
      <c r="B54" s="132" t="s">
        <v>1424</v>
      </c>
      <c r="C54" s="1736"/>
      <c r="D54" s="1736"/>
      <c r="E54" s="1736"/>
      <c r="F54" s="1736">
        <v>-116</v>
      </c>
      <c r="G54" s="1736">
        <v>-461</v>
      </c>
      <c r="H54" s="1737">
        <v>-217.99999999999994</v>
      </c>
      <c r="I54" s="1737">
        <v>-200</v>
      </c>
      <c r="J54" s="1759">
        <v>-205</v>
      </c>
      <c r="K54" s="1737">
        <v>-180.48000000000002</v>
      </c>
      <c r="L54" s="1760">
        <v>-184.08000000000004</v>
      </c>
      <c r="M54" s="1760">
        <v>-87</v>
      </c>
      <c r="N54" s="1760">
        <v>-44.41</v>
      </c>
      <c r="O54" s="1760">
        <v>-70.52000000000001</v>
      </c>
      <c r="P54" s="1760">
        <v>-113.32</v>
      </c>
      <c r="Q54" s="1760">
        <v>-134.78000000000003</v>
      </c>
      <c r="R54" s="1760">
        <v>-221.40000000000003</v>
      </c>
      <c r="S54" s="1741"/>
      <c r="T54" s="737" t="s">
        <v>43</v>
      </c>
      <c r="U54" s="1659"/>
      <c r="V54" s="2135"/>
      <c r="W54" s="339"/>
      <c r="X54" s="2635"/>
    </row>
    <row r="55" spans="1:24" ht="15" customHeight="1" x14ac:dyDescent="0.2">
      <c r="A55" s="2102">
        <v>55</v>
      </c>
      <c r="B55" s="132" t="s">
        <v>1425</v>
      </c>
      <c r="C55" s="1736">
        <v>-186</v>
      </c>
      <c r="D55" s="1736">
        <v>-204</v>
      </c>
      <c r="E55" s="1736">
        <v>-152</v>
      </c>
      <c r="F55" s="1736">
        <v>-78</v>
      </c>
      <c r="G55" s="1736">
        <v>-122</v>
      </c>
      <c r="H55" s="1737">
        <v>-100</v>
      </c>
      <c r="I55" s="1737">
        <v>-103.17999999999999</v>
      </c>
      <c r="J55" s="1759">
        <v>-157</v>
      </c>
      <c r="K55" s="1737">
        <v>-175.59</v>
      </c>
      <c r="L55" s="1760">
        <v>-71.210000000000008</v>
      </c>
      <c r="M55" s="1760">
        <v>-7</v>
      </c>
      <c r="N55" s="1760">
        <v>-40.869999999999997</v>
      </c>
      <c r="O55" s="1760">
        <v>16.350000000000001</v>
      </c>
      <c r="P55" s="1760">
        <v>-40.43</v>
      </c>
      <c r="Q55" s="1760">
        <v>-22.93</v>
      </c>
      <c r="R55" s="1760">
        <v>-23.65</v>
      </c>
      <c r="S55" s="1741"/>
      <c r="T55" s="737" t="s">
        <v>44</v>
      </c>
      <c r="U55" s="1659"/>
      <c r="V55" s="2135"/>
      <c r="W55" s="339"/>
      <c r="X55" s="2635"/>
    </row>
    <row r="56" spans="1:24" ht="15" customHeight="1" x14ac:dyDescent="0.2">
      <c r="A56" s="2125">
        <v>56</v>
      </c>
      <c r="B56" s="132" t="s">
        <v>1426</v>
      </c>
      <c r="C56" s="1736"/>
      <c r="D56" s="1736"/>
      <c r="E56" s="1736"/>
      <c r="F56" s="1736">
        <v>-36</v>
      </c>
      <c r="G56" s="1736">
        <v>-48</v>
      </c>
      <c r="H56" s="1737">
        <v>-48</v>
      </c>
      <c r="I56" s="1737">
        <v>-47.84</v>
      </c>
      <c r="J56" s="1759">
        <v>-48</v>
      </c>
      <c r="K56" s="1737">
        <v>-91.18</v>
      </c>
      <c r="L56" s="1760">
        <v>-91.18</v>
      </c>
      <c r="M56" s="1760">
        <v>-126</v>
      </c>
      <c r="N56" s="1760">
        <v>-278.39999999999998</v>
      </c>
      <c r="O56" s="1760">
        <v>-134.52000000000001</v>
      </c>
      <c r="P56" s="1760">
        <v>-134.52000000000001</v>
      </c>
      <c r="Q56" s="1760">
        <v>-177.72</v>
      </c>
      <c r="R56" s="1760">
        <v>-177.72</v>
      </c>
      <c r="S56" s="1741"/>
      <c r="T56" s="737" t="s">
        <v>892</v>
      </c>
      <c r="U56" s="1659"/>
      <c r="V56" s="2135"/>
      <c r="W56" s="339"/>
      <c r="X56" s="2635"/>
    </row>
    <row r="57" spans="1:24" x14ac:dyDescent="0.2">
      <c r="A57" s="2102">
        <v>57</v>
      </c>
      <c r="B57" s="132" t="s">
        <v>1427</v>
      </c>
      <c r="C57" s="1736">
        <v>-46</v>
      </c>
      <c r="D57" s="1736">
        <v>-61</v>
      </c>
      <c r="E57" s="1736">
        <v>-165</v>
      </c>
      <c r="F57" s="1736">
        <v>-215</v>
      </c>
      <c r="G57" s="1736">
        <v>-259</v>
      </c>
      <c r="H57" s="1737">
        <v>-26</v>
      </c>
      <c r="I57" s="1737">
        <v>-26</v>
      </c>
      <c r="J57" s="1759">
        <v>-150</v>
      </c>
      <c r="K57" s="1737">
        <v>-36</v>
      </c>
      <c r="L57" s="1760">
        <v>-143.29</v>
      </c>
      <c r="M57" s="1760">
        <v>-10</v>
      </c>
      <c r="N57" s="1760">
        <v>-85.559999999999988</v>
      </c>
      <c r="O57" s="1760">
        <v>-31.91</v>
      </c>
      <c r="P57" s="1760">
        <v>-195.73000000000002</v>
      </c>
      <c r="Q57" s="1760">
        <v>-129.19</v>
      </c>
      <c r="R57" s="1760">
        <v>-2348.85</v>
      </c>
      <c r="S57" s="1741"/>
      <c r="T57" s="737" t="s">
        <v>46</v>
      </c>
      <c r="U57" s="1659"/>
      <c r="V57" s="2135"/>
      <c r="W57" s="339"/>
      <c r="X57" s="2635"/>
    </row>
    <row r="58" spans="1:24" ht="24" x14ac:dyDescent="0.2">
      <c r="A58" s="2125">
        <v>58</v>
      </c>
      <c r="B58" s="132" t="s">
        <v>1428</v>
      </c>
      <c r="C58" s="1736"/>
      <c r="D58" s="1736"/>
      <c r="E58" s="1736"/>
      <c r="F58" s="1736"/>
      <c r="G58" s="1736"/>
      <c r="H58" s="1737">
        <v>-387</v>
      </c>
      <c r="I58" s="1737">
        <v>-49</v>
      </c>
      <c r="J58" s="1759">
        <v>0</v>
      </c>
      <c r="K58" s="1737">
        <v>-740.48</v>
      </c>
      <c r="L58" s="1760"/>
      <c r="M58" s="1760"/>
      <c r="N58" s="1760"/>
      <c r="O58" s="1760"/>
      <c r="P58" s="1760">
        <v>0</v>
      </c>
      <c r="Q58" s="1784" t="s">
        <v>1387</v>
      </c>
      <c r="R58" s="2167"/>
      <c r="S58" s="1741"/>
      <c r="T58" s="737" t="s">
        <v>48</v>
      </c>
      <c r="U58" s="1659"/>
      <c r="V58" s="2135"/>
      <c r="W58" s="339"/>
      <c r="X58" s="2635"/>
    </row>
    <row r="59" spans="1:24" x14ac:dyDescent="0.2">
      <c r="A59" s="2102">
        <v>59</v>
      </c>
      <c r="B59" s="132" t="s">
        <v>1429</v>
      </c>
      <c r="C59" s="1736"/>
      <c r="D59" s="1736"/>
      <c r="E59" s="1736"/>
      <c r="F59" s="1736"/>
      <c r="G59" s="1739"/>
      <c r="H59" s="1737"/>
      <c r="I59" s="1737"/>
      <c r="J59" s="1759"/>
      <c r="K59" s="1737">
        <v>-234</v>
      </c>
      <c r="L59" s="1760">
        <v>234</v>
      </c>
      <c r="M59" s="1760"/>
      <c r="N59" s="1760"/>
      <c r="O59" s="1760"/>
      <c r="P59" s="1760">
        <v>0</v>
      </c>
      <c r="Q59" s="1760">
        <v>0</v>
      </c>
      <c r="R59" s="1760"/>
      <c r="S59" s="1741"/>
      <c r="T59" s="737" t="s">
        <v>696</v>
      </c>
      <c r="U59" s="1659"/>
      <c r="V59" s="2135"/>
      <c r="W59" s="339"/>
      <c r="X59" s="2635"/>
    </row>
    <row r="60" spans="1:24" ht="15" customHeight="1" x14ac:dyDescent="0.2">
      <c r="A60" s="2125">
        <v>60</v>
      </c>
      <c r="B60" s="132" t="s">
        <v>1430</v>
      </c>
      <c r="C60" s="1736"/>
      <c r="D60" s="1736"/>
      <c r="E60" s="1736"/>
      <c r="F60" s="1736"/>
      <c r="G60" s="1736"/>
      <c r="H60" s="1737"/>
      <c r="I60" s="1737">
        <v>0</v>
      </c>
      <c r="J60" s="1759"/>
      <c r="K60" s="1737"/>
      <c r="L60" s="1760"/>
      <c r="M60" s="1760"/>
      <c r="N60" s="1760"/>
      <c r="O60" s="1760"/>
      <c r="P60" s="1760">
        <v>0</v>
      </c>
      <c r="Q60" s="1760">
        <v>0</v>
      </c>
      <c r="R60" s="1760"/>
      <c r="S60" s="1741"/>
      <c r="T60" s="737" t="s">
        <v>49</v>
      </c>
      <c r="U60" s="1659"/>
      <c r="V60" s="2135"/>
      <c r="W60" s="339"/>
      <c r="X60" s="2635"/>
    </row>
    <row r="61" spans="1:24" ht="15" customHeight="1" x14ac:dyDescent="0.2">
      <c r="A61" s="2102">
        <v>61</v>
      </c>
      <c r="B61" s="132" t="s">
        <v>1431</v>
      </c>
      <c r="C61" s="1736"/>
      <c r="D61" s="1736"/>
      <c r="E61" s="1736">
        <v>-540</v>
      </c>
      <c r="F61" s="1736"/>
      <c r="G61" s="1736"/>
      <c r="H61" s="1737"/>
      <c r="I61" s="1785"/>
      <c r="J61" s="1786">
        <v>0</v>
      </c>
      <c r="K61" s="1785"/>
      <c r="L61" s="1787"/>
      <c r="M61" s="1787"/>
      <c r="N61" s="1787"/>
      <c r="O61" s="1787"/>
      <c r="P61" s="1787">
        <v>-295.64</v>
      </c>
      <c r="Q61" s="1787">
        <v>0</v>
      </c>
      <c r="R61" s="1787"/>
      <c r="S61" s="1741"/>
      <c r="T61" s="737" t="s">
        <v>904</v>
      </c>
      <c r="U61" s="1659"/>
      <c r="V61" s="2135"/>
      <c r="W61" s="339"/>
      <c r="X61" s="2635"/>
    </row>
    <row r="62" spans="1:24" x14ac:dyDescent="0.2">
      <c r="A62" s="2125">
        <v>62</v>
      </c>
      <c r="B62" s="132" t="s">
        <v>1432</v>
      </c>
      <c r="C62" s="1736"/>
      <c r="D62" s="1736"/>
      <c r="E62" s="1736"/>
      <c r="F62" s="1736"/>
      <c r="G62" s="1736"/>
      <c r="H62" s="1737">
        <v>-716</v>
      </c>
      <c r="I62" s="1737">
        <v>0</v>
      </c>
      <c r="J62" s="1759">
        <v>0</v>
      </c>
      <c r="K62" s="1737"/>
      <c r="L62" s="1760"/>
      <c r="M62" s="1760"/>
      <c r="N62" s="1760"/>
      <c r="O62" s="1760"/>
      <c r="P62" s="1760">
        <v>-214.79</v>
      </c>
      <c r="Q62" s="1760">
        <v>0</v>
      </c>
      <c r="R62" s="1760"/>
      <c r="S62" s="1741"/>
      <c r="T62" s="737" t="s">
        <v>47</v>
      </c>
      <c r="U62" s="1659"/>
      <c r="V62" s="2135"/>
      <c r="W62" s="339"/>
      <c r="X62" s="2635"/>
    </row>
    <row r="63" spans="1:24" x14ac:dyDescent="0.2">
      <c r="A63" s="2102">
        <v>63</v>
      </c>
      <c r="B63" s="132" t="s">
        <v>1432</v>
      </c>
      <c r="C63" s="1736"/>
      <c r="D63" s="1736"/>
      <c r="E63" s="1736"/>
      <c r="F63" s="1736">
        <v>-27083</v>
      </c>
      <c r="G63" s="1739">
        <v>-5224</v>
      </c>
      <c r="H63" s="1737"/>
      <c r="I63" s="1737">
        <v>0</v>
      </c>
      <c r="J63" s="1759">
        <v>0</v>
      </c>
      <c r="K63" s="1737">
        <v>0</v>
      </c>
      <c r="L63" s="1760"/>
      <c r="M63" s="1760"/>
      <c r="N63" s="1760"/>
      <c r="O63" s="1760"/>
      <c r="P63" s="1760">
        <v>0</v>
      </c>
      <c r="Q63" s="1760">
        <v>0</v>
      </c>
      <c r="R63" s="1760"/>
      <c r="S63" s="1741"/>
      <c r="T63" s="737" t="s">
        <v>50</v>
      </c>
      <c r="U63" s="1659"/>
      <c r="V63" s="2135"/>
      <c r="W63" s="339"/>
      <c r="X63" s="2635"/>
    </row>
    <row r="64" spans="1:24" x14ac:dyDescent="0.2">
      <c r="A64" s="2125">
        <v>64</v>
      </c>
      <c r="B64" s="132" t="s">
        <v>1433</v>
      </c>
      <c r="C64" s="1736">
        <v>-67</v>
      </c>
      <c r="D64" s="1736">
        <v>-151</v>
      </c>
      <c r="E64" s="1736"/>
      <c r="F64" s="1736"/>
      <c r="G64" s="1736"/>
      <c r="H64" s="1737"/>
      <c r="I64" s="1785"/>
      <c r="J64" s="1786"/>
      <c r="K64" s="1785"/>
      <c r="L64" s="1787"/>
      <c r="M64" s="1787"/>
      <c r="N64" s="1787"/>
      <c r="O64" s="1787"/>
      <c r="P64" s="1787">
        <v>-13.3</v>
      </c>
      <c r="Q64" s="1787">
        <v>-25.13</v>
      </c>
      <c r="R64" s="1787">
        <v>-25.74</v>
      </c>
      <c r="S64" s="1741"/>
      <c r="T64" s="737" t="s">
        <v>1083</v>
      </c>
      <c r="U64" s="1659"/>
      <c r="V64" s="2135"/>
      <c r="W64" s="339"/>
      <c r="X64" s="2635"/>
    </row>
    <row r="65" spans="1:24" x14ac:dyDescent="0.2">
      <c r="A65" s="2102">
        <v>65</v>
      </c>
      <c r="B65" s="411"/>
      <c r="C65" s="1745">
        <f t="shared" ref="C65:N65" si="18">SUM(C47:C64)</f>
        <v>-2064</v>
      </c>
      <c r="D65" s="1745">
        <f t="shared" si="18"/>
        <v>-3633</v>
      </c>
      <c r="E65" s="1745">
        <f t="shared" si="18"/>
        <v>-2957</v>
      </c>
      <c r="F65" s="1745">
        <f t="shared" si="18"/>
        <v>-34782</v>
      </c>
      <c r="G65" s="1745">
        <f t="shared" si="18"/>
        <v>-14083</v>
      </c>
      <c r="H65" s="1746">
        <f t="shared" si="18"/>
        <v>-5338</v>
      </c>
      <c r="I65" s="1746">
        <f t="shared" si="18"/>
        <v>-3469.6000000000008</v>
      </c>
      <c r="J65" s="1745">
        <f t="shared" si="18"/>
        <v>-3654</v>
      </c>
      <c r="K65" s="1746">
        <f t="shared" si="18"/>
        <v>-4534.08</v>
      </c>
      <c r="L65" s="1747">
        <f t="shared" si="18"/>
        <v>-3742.8599999999997</v>
      </c>
      <c r="M65" s="1747">
        <f t="shared" ref="M65" si="19">SUM(M47:M64)</f>
        <v>-2711</v>
      </c>
      <c r="N65" s="1747">
        <f t="shared" si="18"/>
        <v>-2595.6299999999997</v>
      </c>
      <c r="O65" s="1747">
        <f t="shared" ref="O65:Q65" si="20">SUM(O47:O64)</f>
        <v>-3668.9900000000002</v>
      </c>
      <c r="P65" s="1747">
        <f t="shared" ref="P65" si="21">SUM(P47:P64)</f>
        <v>-3809.9300000000003</v>
      </c>
      <c r="Q65" s="1747">
        <f t="shared" si="20"/>
        <v>-3227.05</v>
      </c>
      <c r="R65" s="1747">
        <f t="shared" ref="R65" si="22">SUM(R47:R64)</f>
        <v>-6493.58</v>
      </c>
      <c r="S65" s="1764"/>
      <c r="T65" s="1749" t="s">
        <v>51</v>
      </c>
      <c r="U65" s="1660">
        <f>SUM(U47:U64)</f>
        <v>0</v>
      </c>
      <c r="V65" s="2136">
        <f>SUM(V47:V64)</f>
        <v>0</v>
      </c>
      <c r="W65" s="1719"/>
      <c r="X65" s="1750"/>
    </row>
    <row r="66" spans="1:24" ht="17" thickBot="1" x14ac:dyDescent="0.25">
      <c r="A66" s="2125">
        <v>66</v>
      </c>
      <c r="B66" s="338"/>
      <c r="C66" s="1765">
        <f t="shared" ref="C66:N66" si="23">+C65+C45</f>
        <v>6181</v>
      </c>
      <c r="D66" s="1765">
        <f t="shared" si="23"/>
        <v>2535</v>
      </c>
      <c r="E66" s="1765">
        <f t="shared" si="23"/>
        <v>5452</v>
      </c>
      <c r="F66" s="1765">
        <f t="shared" si="23"/>
        <v>-29541</v>
      </c>
      <c r="G66" s="1765">
        <f t="shared" si="23"/>
        <v>-4789</v>
      </c>
      <c r="H66" s="1766">
        <f t="shared" si="23"/>
        <v>302</v>
      </c>
      <c r="I66" s="1766">
        <f t="shared" si="23"/>
        <v>3305.1499999999992</v>
      </c>
      <c r="J66" s="1765">
        <f t="shared" si="23"/>
        <v>2484.25</v>
      </c>
      <c r="K66" s="1766">
        <f t="shared" si="23"/>
        <v>1660.6099999999997</v>
      </c>
      <c r="L66" s="1747">
        <f t="shared" si="23"/>
        <v>1076.21</v>
      </c>
      <c r="M66" s="1747">
        <f t="shared" ref="M66" si="24">+M65+M45</f>
        <v>1372</v>
      </c>
      <c r="N66" s="1747">
        <f t="shared" si="23"/>
        <v>1252.3700000000003</v>
      </c>
      <c r="O66" s="1747">
        <f t="shared" ref="O66:Q66" si="25">+O65+O45</f>
        <v>3527.3299999999995</v>
      </c>
      <c r="P66" s="1747">
        <f t="shared" ref="P66" si="26">+P65+P45</f>
        <v>2320.9799999999996</v>
      </c>
      <c r="Q66" s="1747">
        <f t="shared" si="25"/>
        <v>5483.9999999999991</v>
      </c>
      <c r="R66" s="1747">
        <f t="shared" ref="R66" si="27">+R65+R45</f>
        <v>214.05999999999949</v>
      </c>
      <c r="S66" s="1767"/>
      <c r="T66" s="1768" t="s">
        <v>52</v>
      </c>
      <c r="U66" s="1660">
        <f>+U65+U45</f>
        <v>0</v>
      </c>
      <c r="V66" s="2136">
        <f>+V65+V45</f>
        <v>6000</v>
      </c>
      <c r="W66" s="1410"/>
      <c r="X66" s="2637"/>
    </row>
    <row r="67" spans="1:24" ht="15" customHeight="1" thickTop="1" x14ac:dyDescent="0.2">
      <c r="A67" s="2102">
        <v>67</v>
      </c>
      <c r="B67" s="1720"/>
      <c r="C67" s="1699"/>
      <c r="D67" s="1722"/>
      <c r="E67" s="1699"/>
      <c r="F67" s="1722"/>
      <c r="G67" s="1722"/>
      <c r="H67" s="1699"/>
      <c r="I67" s="1699"/>
      <c r="J67" s="1722"/>
      <c r="K67" s="1722"/>
      <c r="L67" s="1723"/>
      <c r="M67" s="1724"/>
      <c r="N67" s="1724"/>
      <c r="O67" s="1724"/>
      <c r="P67" s="1724"/>
      <c r="Q67" s="1724"/>
      <c r="R67" s="2164"/>
      <c r="S67" s="1767"/>
      <c r="T67" s="1723" t="s">
        <v>420</v>
      </c>
      <c r="U67" s="1685"/>
      <c r="V67" s="2133"/>
      <c r="W67" s="1726"/>
      <c r="X67" s="2631"/>
    </row>
    <row r="68" spans="1:24" ht="15" customHeight="1" x14ac:dyDescent="0.2">
      <c r="A68" s="2125">
        <v>68</v>
      </c>
      <c r="B68" s="1770"/>
      <c r="C68" s="1699"/>
      <c r="D68" s="1771"/>
      <c r="E68" s="1699"/>
      <c r="F68" s="1771"/>
      <c r="G68" s="1771"/>
      <c r="H68" s="1753"/>
      <c r="I68" s="1754"/>
      <c r="J68" s="1771"/>
      <c r="K68" s="1771"/>
      <c r="L68" s="1772"/>
      <c r="M68" s="1773"/>
      <c r="N68" s="1773"/>
      <c r="O68" s="1773"/>
      <c r="P68" s="1773"/>
      <c r="Q68" s="1773"/>
      <c r="R68" s="2168"/>
      <c r="S68" s="1767"/>
      <c r="T68" s="1772" t="s">
        <v>417</v>
      </c>
      <c r="U68" s="1688"/>
      <c r="V68" s="2139"/>
      <c r="W68" s="1775"/>
      <c r="X68" s="2638"/>
    </row>
    <row r="69" spans="1:24" ht="15" customHeight="1" x14ac:dyDescent="0.2">
      <c r="A69" s="2102">
        <v>69</v>
      </c>
      <c r="B69" s="132" t="s">
        <v>1434</v>
      </c>
      <c r="C69" s="1736">
        <v>314</v>
      </c>
      <c r="D69" s="1736">
        <v>485</v>
      </c>
      <c r="E69" s="1736">
        <v>262</v>
      </c>
      <c r="F69" s="1736">
        <v>1449</v>
      </c>
      <c r="G69" s="1736">
        <v>1238</v>
      </c>
      <c r="H69" s="1737">
        <v>964</v>
      </c>
      <c r="I69" s="1737">
        <v>721.34</v>
      </c>
      <c r="J69" s="1759">
        <v>800</v>
      </c>
      <c r="K69" s="1737">
        <v>1215.0000000000002</v>
      </c>
      <c r="L69" s="1760">
        <v>589.38</v>
      </c>
      <c r="M69" s="1760">
        <v>210</v>
      </c>
      <c r="N69" s="1760">
        <v>500</v>
      </c>
      <c r="O69" s="1760">
        <v>830.71</v>
      </c>
      <c r="P69" s="1760">
        <v>553.5</v>
      </c>
      <c r="Q69" s="1760"/>
      <c r="R69" s="1760"/>
      <c r="S69" s="1767"/>
      <c r="T69" s="9" t="s">
        <v>1084</v>
      </c>
      <c r="U69" s="1659"/>
      <c r="V69" s="2135"/>
      <c r="W69" s="339"/>
      <c r="X69" s="2635"/>
    </row>
    <row r="70" spans="1:24" ht="15" customHeight="1" x14ac:dyDescent="0.2">
      <c r="A70" s="2125">
        <v>70</v>
      </c>
      <c r="B70" s="132" t="s">
        <v>1435</v>
      </c>
      <c r="C70" s="1736">
        <v>-310</v>
      </c>
      <c r="D70" s="1736">
        <v>-500</v>
      </c>
      <c r="E70" s="1736">
        <v>-262</v>
      </c>
      <c r="F70" s="1736">
        <v>-1499</v>
      </c>
      <c r="G70" s="1735">
        <v>-1300</v>
      </c>
      <c r="H70" s="1737">
        <v>-1000</v>
      </c>
      <c r="I70" s="1737">
        <v>-750</v>
      </c>
      <c r="J70" s="1759">
        <v>-800</v>
      </c>
      <c r="K70" s="1737">
        <v>-1215</v>
      </c>
      <c r="L70" s="1760">
        <v>-600</v>
      </c>
      <c r="M70" s="1760">
        <v>-210</v>
      </c>
      <c r="N70" s="1760">
        <v>-500</v>
      </c>
      <c r="O70" s="1760">
        <v>-830</v>
      </c>
      <c r="P70" s="1760">
        <v>-553.5</v>
      </c>
      <c r="Q70" s="1760"/>
      <c r="R70" s="1760">
        <v>-100</v>
      </c>
      <c r="S70" s="1741"/>
      <c r="T70" s="73" t="s">
        <v>757</v>
      </c>
      <c r="U70" s="1659"/>
      <c r="V70" s="2135"/>
      <c r="W70" s="339"/>
      <c r="X70" s="2635"/>
    </row>
    <row r="71" spans="1:24" ht="15" customHeight="1" x14ac:dyDescent="0.2">
      <c r="A71" s="2102">
        <v>71</v>
      </c>
      <c r="B71" s="132" t="s">
        <v>1436</v>
      </c>
      <c r="C71" s="1736"/>
      <c r="D71" s="1736"/>
      <c r="E71" s="1736">
        <v>2000</v>
      </c>
      <c r="F71" s="1736"/>
      <c r="G71" s="1736">
        <v>200</v>
      </c>
      <c r="H71" s="1737"/>
      <c r="I71" s="1737"/>
      <c r="J71" s="1759"/>
      <c r="K71" s="1737">
        <v>0</v>
      </c>
      <c r="L71" s="1760">
        <v>0</v>
      </c>
      <c r="M71" s="1760">
        <v>0</v>
      </c>
      <c r="N71" s="1760">
        <v>1500</v>
      </c>
      <c r="O71" s="1760">
        <v>0</v>
      </c>
      <c r="P71" s="1760">
        <v>0</v>
      </c>
      <c r="Q71" s="1760"/>
      <c r="R71" s="1760"/>
      <c r="S71" s="1741"/>
      <c r="T71" s="737" t="s">
        <v>28</v>
      </c>
      <c r="U71" s="1659"/>
      <c r="V71" s="2135"/>
      <c r="W71" s="339"/>
      <c r="X71" s="2635"/>
    </row>
    <row r="72" spans="1:24" ht="15" customHeight="1" x14ac:dyDescent="0.2">
      <c r="A72" s="2125">
        <v>72</v>
      </c>
      <c r="B72" s="132" t="s">
        <v>1437</v>
      </c>
      <c r="C72" s="1736">
        <v>189</v>
      </c>
      <c r="D72" s="1736">
        <v>172</v>
      </c>
      <c r="E72" s="1736">
        <v>553</v>
      </c>
      <c r="F72" s="1736">
        <v>18</v>
      </c>
      <c r="G72" s="1736">
        <v>40</v>
      </c>
      <c r="H72" s="1737">
        <v>161</v>
      </c>
      <c r="I72" s="1737">
        <v>100.5</v>
      </c>
      <c r="J72" s="1759">
        <v>51</v>
      </c>
      <c r="K72" s="1737">
        <v>175</v>
      </c>
      <c r="L72" s="1760">
        <v>301.5</v>
      </c>
      <c r="M72" s="1760">
        <v>20</v>
      </c>
      <c r="N72" s="1760">
        <v>413</v>
      </c>
      <c r="O72" s="1760">
        <v>979</v>
      </c>
      <c r="P72" s="1760">
        <v>550</v>
      </c>
      <c r="Q72" s="1760">
        <v>687.09</v>
      </c>
      <c r="R72" s="1760">
        <v>5707</v>
      </c>
      <c r="S72" s="1741"/>
      <c r="T72" s="737" t="s">
        <v>53</v>
      </c>
      <c r="U72" s="1659"/>
      <c r="V72" s="2135"/>
      <c r="W72" s="339"/>
      <c r="X72" s="2635"/>
    </row>
    <row r="73" spans="1:24" ht="15" customHeight="1" x14ac:dyDescent="0.2">
      <c r="A73" s="2102">
        <v>73</v>
      </c>
      <c r="B73" s="132" t="s">
        <v>1445</v>
      </c>
      <c r="C73" s="1735"/>
      <c r="D73" s="1788"/>
      <c r="E73" s="1789"/>
      <c r="F73" s="1789"/>
      <c r="G73" s="1789"/>
      <c r="H73" s="1790"/>
      <c r="I73" s="1790"/>
      <c r="J73" s="1759"/>
      <c r="K73" s="1737">
        <v>22</v>
      </c>
      <c r="L73" s="1760">
        <v>26.86</v>
      </c>
      <c r="M73" s="1760">
        <v>12</v>
      </c>
      <c r="N73" s="1760">
        <v>1.47</v>
      </c>
      <c r="O73" s="1760">
        <v>35.590000000000003</v>
      </c>
      <c r="P73" s="1760">
        <v>156.5</v>
      </c>
      <c r="Q73" s="1760">
        <v>239</v>
      </c>
      <c r="R73" s="1760">
        <v>241.22</v>
      </c>
      <c r="S73" s="1741"/>
      <c r="T73" s="339" t="s">
        <v>639</v>
      </c>
      <c r="U73" s="1659"/>
      <c r="V73" s="2135"/>
      <c r="W73" s="339"/>
      <c r="X73" s="2635"/>
    </row>
    <row r="74" spans="1:24" ht="15" customHeight="1" thickBot="1" x14ac:dyDescent="0.25">
      <c r="A74" s="2125">
        <v>74</v>
      </c>
      <c r="B74" s="1791"/>
      <c r="C74" s="1765">
        <f>SUM(C72:C73)</f>
        <v>189</v>
      </c>
      <c r="D74" s="1765">
        <f t="shared" ref="D74:N74" si="28">SUM(D69:D73)</f>
        <v>157</v>
      </c>
      <c r="E74" s="1765">
        <f t="shared" si="28"/>
        <v>2553</v>
      </c>
      <c r="F74" s="1765">
        <f t="shared" si="28"/>
        <v>-32</v>
      </c>
      <c r="G74" s="1765">
        <f t="shared" si="28"/>
        <v>178</v>
      </c>
      <c r="H74" s="1766">
        <f t="shared" si="28"/>
        <v>125</v>
      </c>
      <c r="I74" s="1766">
        <f t="shared" si="28"/>
        <v>71.840000000000032</v>
      </c>
      <c r="J74" s="1765">
        <f t="shared" si="28"/>
        <v>51</v>
      </c>
      <c r="K74" s="1766">
        <f t="shared" si="28"/>
        <v>197.00000000000023</v>
      </c>
      <c r="L74" s="1792">
        <f t="shared" si="28"/>
        <v>317.74</v>
      </c>
      <c r="M74" s="1792">
        <f t="shared" si="28"/>
        <v>32</v>
      </c>
      <c r="N74" s="1792">
        <f t="shared" si="28"/>
        <v>1914.47</v>
      </c>
      <c r="O74" s="1792">
        <f t="shared" ref="O74:R74" si="29">SUM(O69:O73)</f>
        <v>1015.3000000000001</v>
      </c>
      <c r="P74" s="1792">
        <f t="shared" ref="P74" si="30">SUM(P69:P73)</f>
        <v>706.5</v>
      </c>
      <c r="Q74" s="1792">
        <f t="shared" si="29"/>
        <v>926.09</v>
      </c>
      <c r="R74" s="1792">
        <f t="shared" si="29"/>
        <v>5848.22</v>
      </c>
      <c r="S74" s="1741"/>
      <c r="T74" s="1793" t="s">
        <v>55</v>
      </c>
      <c r="U74" s="1681">
        <f>SUM(U69:U73)</f>
        <v>0</v>
      </c>
      <c r="V74" s="2141">
        <f>SUM(V69:V73)</f>
        <v>0</v>
      </c>
      <c r="W74" s="1794"/>
      <c r="X74" s="2637"/>
    </row>
    <row r="75" spans="1:24" ht="15" customHeight="1" thickTop="1" x14ac:dyDescent="0.2">
      <c r="A75" s="2102">
        <v>75</v>
      </c>
      <c r="B75" s="1795"/>
      <c r="C75" s="1699"/>
      <c r="D75" s="1796"/>
      <c r="E75" s="1699"/>
      <c r="F75" s="1796"/>
      <c r="G75" s="1796"/>
      <c r="H75" s="1753"/>
      <c r="I75" s="1754"/>
      <c r="J75" s="1797"/>
      <c r="K75" s="1797"/>
      <c r="L75" s="1798"/>
      <c r="M75" s="1799"/>
      <c r="N75" s="1799"/>
      <c r="O75" s="1799"/>
      <c r="P75" s="1799"/>
      <c r="Q75" s="1799"/>
      <c r="R75" s="2169"/>
      <c r="S75" s="1741"/>
      <c r="T75" s="1800" t="s">
        <v>633</v>
      </c>
      <c r="U75" s="1690"/>
      <c r="V75" s="2142"/>
      <c r="W75" s="1801"/>
      <c r="X75" s="1802"/>
    </row>
    <row r="76" spans="1:24" ht="15" customHeight="1" x14ac:dyDescent="0.2">
      <c r="A76" s="2125">
        <v>76</v>
      </c>
      <c r="B76" s="411"/>
      <c r="C76" s="1803" t="s">
        <v>60</v>
      </c>
      <c r="D76" s="1804"/>
      <c r="E76" s="1805" t="s">
        <v>60</v>
      </c>
      <c r="F76" s="1806">
        <v>27083</v>
      </c>
      <c r="G76" s="1807">
        <v>5224</v>
      </c>
      <c r="H76" s="1808"/>
      <c r="I76" s="1809"/>
      <c r="J76" s="1810"/>
      <c r="K76" s="1809"/>
      <c r="L76" s="1810"/>
      <c r="M76" s="1810"/>
      <c r="N76" s="1810"/>
      <c r="O76" s="1811"/>
      <c r="P76" s="1811"/>
      <c r="Q76" s="1811"/>
      <c r="R76" s="2170"/>
      <c r="S76" s="1741"/>
      <c r="T76" s="737"/>
      <c r="U76" s="1663"/>
      <c r="V76" s="2143"/>
      <c r="W76" s="1719"/>
      <c r="X76" s="1750"/>
    </row>
    <row r="77" spans="1:24" ht="15" customHeight="1" x14ac:dyDescent="0.2">
      <c r="A77" s="2102">
        <v>77</v>
      </c>
      <c r="B77" s="338"/>
      <c r="C77" s="1803" t="s">
        <v>400</v>
      </c>
      <c r="D77" s="1804"/>
      <c r="E77" s="1812" t="s">
        <v>400</v>
      </c>
      <c r="F77" s="1806"/>
      <c r="G77" s="1807">
        <v>932</v>
      </c>
      <c r="H77" s="1808"/>
      <c r="I77" s="1809"/>
      <c r="J77" s="1810"/>
      <c r="K77" s="1809"/>
      <c r="L77" s="1810"/>
      <c r="M77" s="1810"/>
      <c r="N77" s="1810"/>
      <c r="O77" s="1811"/>
      <c r="P77" s="1811"/>
      <c r="Q77" s="1811"/>
      <c r="R77" s="2171" t="s">
        <v>848</v>
      </c>
      <c r="S77" s="1741"/>
      <c r="T77" s="1813" t="s">
        <v>1006</v>
      </c>
      <c r="U77" s="1664" t="s">
        <v>848</v>
      </c>
      <c r="V77" s="2144" t="s">
        <v>848</v>
      </c>
      <c r="W77" s="1410"/>
      <c r="X77" s="2637"/>
    </row>
    <row r="78" spans="1:24" ht="15" hidden="1" customHeight="1" x14ac:dyDescent="0.2">
      <c r="A78" s="2125">
        <v>78</v>
      </c>
      <c r="B78" s="411"/>
      <c r="C78" s="1803" t="s">
        <v>401</v>
      </c>
      <c r="D78" s="1804"/>
      <c r="E78" s="1812" t="s">
        <v>401</v>
      </c>
      <c r="F78" s="1806"/>
      <c r="G78" s="1807"/>
      <c r="H78" s="1808"/>
      <c r="I78" s="1809">
        <v>1703</v>
      </c>
      <c r="J78" s="1810"/>
      <c r="K78" s="1809"/>
      <c r="L78" s="1810"/>
      <c r="M78" s="1810"/>
      <c r="N78" s="1810"/>
      <c r="O78" s="1811"/>
      <c r="P78" s="1811"/>
      <c r="Q78" s="1811"/>
      <c r="R78" s="2170"/>
      <c r="S78" s="1741"/>
      <c r="T78" s="663"/>
      <c r="U78" s="1663"/>
      <c r="V78" s="2143"/>
      <c r="W78" s="1719"/>
      <c r="X78" s="1750"/>
    </row>
    <row r="79" spans="1:24" ht="15" hidden="1" customHeight="1" x14ac:dyDescent="0.2">
      <c r="A79" s="2102">
        <v>79</v>
      </c>
      <c r="B79" s="411"/>
      <c r="C79" s="1803" t="s">
        <v>179</v>
      </c>
      <c r="D79" s="1804"/>
      <c r="E79" s="1812" t="s">
        <v>179</v>
      </c>
      <c r="F79" s="1806"/>
      <c r="G79" s="1814"/>
      <c r="H79" s="1815"/>
      <c r="I79" s="1816">
        <v>350</v>
      </c>
      <c r="J79" s="1817"/>
      <c r="K79" s="1816"/>
      <c r="L79" s="1810"/>
      <c r="M79" s="1810"/>
      <c r="N79" s="1810"/>
      <c r="O79" s="1811"/>
      <c r="P79" s="1811"/>
      <c r="Q79" s="1811"/>
      <c r="R79" s="2172"/>
      <c r="S79" s="1741"/>
      <c r="T79" s="663"/>
      <c r="U79" s="1665"/>
      <c r="V79" s="2145"/>
      <c r="W79" s="1719"/>
      <c r="X79" s="1750"/>
    </row>
    <row r="80" spans="1:24" ht="15" hidden="1" customHeight="1" x14ac:dyDescent="0.2">
      <c r="A80" s="2125">
        <v>80</v>
      </c>
      <c r="B80" s="411"/>
      <c r="C80" s="1818" t="s">
        <v>361</v>
      </c>
      <c r="D80" s="1819"/>
      <c r="E80" s="1820" t="s">
        <v>361</v>
      </c>
      <c r="F80" s="1821"/>
      <c r="G80" s="1814"/>
      <c r="H80" s="1815"/>
      <c r="I80" s="1816"/>
      <c r="J80" s="1817">
        <v>2568</v>
      </c>
      <c r="K80" s="1816"/>
      <c r="L80" s="1810"/>
      <c r="M80" s="1810"/>
      <c r="N80" s="1810"/>
      <c r="O80" s="1811"/>
      <c r="P80" s="1811"/>
      <c r="Q80" s="1811"/>
      <c r="R80" s="2172"/>
      <c r="S80" s="1822"/>
      <c r="T80" s="663"/>
      <c r="U80" s="1665"/>
      <c r="V80" s="2145"/>
      <c r="W80" s="1719"/>
      <c r="X80" s="1750"/>
    </row>
    <row r="81" spans="1:24" ht="15" hidden="1" customHeight="1" x14ac:dyDescent="0.2">
      <c r="A81" s="2102">
        <v>81</v>
      </c>
      <c r="B81" s="411"/>
      <c r="C81" s="1803" t="s">
        <v>419</v>
      </c>
      <c r="D81" s="1823"/>
      <c r="E81" s="1812" t="s">
        <v>419</v>
      </c>
      <c r="F81" s="1806"/>
      <c r="G81" s="1807"/>
      <c r="H81" s="1808"/>
      <c r="I81" s="1809"/>
      <c r="J81" s="1810">
        <v>1200</v>
      </c>
      <c r="K81" s="1809"/>
      <c r="L81" s="1810"/>
      <c r="M81" s="1810"/>
      <c r="N81" s="1810"/>
      <c r="O81" s="1811"/>
      <c r="P81" s="1811"/>
      <c r="Q81" s="1811"/>
      <c r="R81" s="2172"/>
      <c r="S81" s="1822"/>
      <c r="T81" s="663"/>
      <c r="U81" s="1665"/>
      <c r="V81" s="2145"/>
      <c r="W81" s="1719"/>
      <c r="X81" s="1750"/>
    </row>
    <row r="82" spans="1:24" ht="15" hidden="1" customHeight="1" x14ac:dyDescent="0.2">
      <c r="A82" s="2125">
        <v>82</v>
      </c>
      <c r="B82" s="411"/>
      <c r="C82" s="1803" t="s">
        <v>422</v>
      </c>
      <c r="D82" s="1823"/>
      <c r="E82" s="1812" t="s">
        <v>422</v>
      </c>
      <c r="F82" s="1806"/>
      <c r="G82" s="1807"/>
      <c r="H82" s="1808"/>
      <c r="I82" s="1809"/>
      <c r="J82" s="1810">
        <v>1920</v>
      </c>
      <c r="K82" s="1809"/>
      <c r="L82" s="1810"/>
      <c r="M82" s="1810"/>
      <c r="N82" s="1810"/>
      <c r="O82" s="1811"/>
      <c r="P82" s="1811"/>
      <c r="Q82" s="1811"/>
      <c r="R82" s="2172"/>
      <c r="S82" s="1822"/>
      <c r="T82" s="663"/>
      <c r="U82" s="1665"/>
      <c r="V82" s="2145"/>
      <c r="W82" s="1719"/>
      <c r="X82" s="1750"/>
    </row>
    <row r="83" spans="1:24" ht="15" hidden="1" customHeight="1" x14ac:dyDescent="0.2">
      <c r="A83" s="2102">
        <v>83</v>
      </c>
      <c r="B83" s="411"/>
      <c r="C83" s="1803"/>
      <c r="D83" s="1823"/>
      <c r="E83" s="1812" t="s">
        <v>640</v>
      </c>
      <c r="F83" s="1806"/>
      <c r="G83" s="1807"/>
      <c r="H83" s="1808"/>
      <c r="I83" s="1809"/>
      <c r="J83" s="1810"/>
      <c r="K83" s="1809">
        <v>738</v>
      </c>
      <c r="L83" s="1810"/>
      <c r="M83" s="1810"/>
      <c r="N83" s="1810"/>
      <c r="O83" s="1811"/>
      <c r="P83" s="1811"/>
      <c r="Q83" s="1811"/>
      <c r="R83" s="2170"/>
      <c r="S83" s="1822"/>
      <c r="T83" s="663"/>
      <c r="U83" s="1663"/>
      <c r="V83" s="2143"/>
      <c r="W83" s="1719"/>
      <c r="X83" s="1750"/>
    </row>
    <row r="84" spans="1:24" ht="15" customHeight="1" x14ac:dyDescent="0.2">
      <c r="A84" s="2125">
        <v>84</v>
      </c>
      <c r="B84" s="411"/>
      <c r="C84" s="1818"/>
      <c r="D84" s="1824"/>
      <c r="E84" s="1825" t="s">
        <v>894</v>
      </c>
      <c r="F84" s="1821"/>
      <c r="G84" s="1814"/>
      <c r="H84" s="1815"/>
      <c r="I84" s="1816"/>
      <c r="J84" s="1817"/>
      <c r="K84" s="1809"/>
      <c r="L84" s="1810"/>
      <c r="M84" s="1810">
        <v>615</v>
      </c>
      <c r="N84" s="1825" t="s">
        <v>894</v>
      </c>
      <c r="O84" s="1811"/>
      <c r="P84" s="1811"/>
      <c r="Q84" s="1811"/>
      <c r="R84" s="1811"/>
      <c r="S84" s="1822"/>
      <c r="T84" s="663"/>
      <c r="U84" s="1663"/>
      <c r="V84" s="2143"/>
      <c r="W84" s="1719"/>
      <c r="X84" s="1750"/>
    </row>
    <row r="85" spans="1:24" ht="15" customHeight="1" x14ac:dyDescent="0.2">
      <c r="A85" s="2102">
        <v>85</v>
      </c>
      <c r="B85" s="411"/>
      <c r="C85" s="1818"/>
      <c r="D85" s="1824"/>
      <c r="E85" s="1805" t="s">
        <v>694</v>
      </c>
      <c r="F85" s="1826"/>
      <c r="G85" s="1735"/>
      <c r="H85" s="1785"/>
      <c r="I85" s="1785"/>
      <c r="J85" s="1786"/>
      <c r="K85" s="1809"/>
      <c r="L85" s="1810">
        <v>8815</v>
      </c>
      <c r="M85" s="1827" t="s">
        <v>694</v>
      </c>
      <c r="N85" s="1810"/>
      <c r="O85" s="1811"/>
      <c r="P85" s="1811"/>
      <c r="Q85" s="1811"/>
      <c r="R85" s="1811"/>
      <c r="S85" s="1822"/>
      <c r="T85" s="663"/>
      <c r="U85" s="1663"/>
      <c r="V85" s="2143"/>
      <c r="W85" s="1719"/>
      <c r="X85" s="1750"/>
    </row>
    <row r="86" spans="1:24" ht="15" customHeight="1" thickBot="1" x14ac:dyDescent="0.25">
      <c r="A86" s="2125">
        <v>86</v>
      </c>
      <c r="B86" s="1828"/>
      <c r="C86" s="1829"/>
      <c r="D86" s="1830"/>
      <c r="E86" s="1831" t="s">
        <v>977</v>
      </c>
      <c r="F86" s="1832"/>
      <c r="G86" s="1833"/>
      <c r="H86" s="1834"/>
      <c r="I86" s="1834"/>
      <c r="J86" s="1835"/>
      <c r="K86" s="1809"/>
      <c r="L86" s="1827"/>
      <c r="M86" s="1836" t="s">
        <v>977</v>
      </c>
      <c r="N86" s="1810">
        <v>1350</v>
      </c>
      <c r="O86" s="1810"/>
      <c r="P86" s="1810"/>
      <c r="Q86" s="1810"/>
      <c r="R86" s="1810"/>
      <c r="S86" s="1767"/>
      <c r="T86" s="13"/>
      <c r="U86" s="1666"/>
      <c r="V86" s="2146"/>
      <c r="W86" s="1837"/>
      <c r="X86" s="2630"/>
    </row>
    <row r="87" spans="1:24" ht="15" customHeight="1" thickBot="1" x14ac:dyDescent="0.25">
      <c r="A87" s="2102">
        <v>87</v>
      </c>
      <c r="B87" s="1838"/>
      <c r="C87" s="1839"/>
      <c r="D87" s="1840"/>
      <c r="E87" s="1841"/>
      <c r="F87" s="1842">
        <f>SUM(F76:F86)</f>
        <v>27083</v>
      </c>
      <c r="G87" s="1842">
        <f t="shared" ref="G87:N87" si="31">SUM(G76:G86)</f>
        <v>6156</v>
      </c>
      <c r="H87" s="1843">
        <f t="shared" si="31"/>
        <v>0</v>
      </c>
      <c r="I87" s="1843">
        <f t="shared" si="31"/>
        <v>2053</v>
      </c>
      <c r="J87" s="1844">
        <f t="shared" si="31"/>
        <v>5688</v>
      </c>
      <c r="K87" s="1843">
        <f t="shared" si="31"/>
        <v>738</v>
      </c>
      <c r="L87" s="1845">
        <f t="shared" si="31"/>
        <v>8815</v>
      </c>
      <c r="M87" s="1845">
        <f t="shared" si="31"/>
        <v>615</v>
      </c>
      <c r="N87" s="1845">
        <f t="shared" si="31"/>
        <v>1350</v>
      </c>
      <c r="O87" s="1845">
        <f t="shared" ref="O87:R87" si="32">SUM(O76:O86)</f>
        <v>0</v>
      </c>
      <c r="P87" s="1845">
        <f t="shared" ref="P87" si="33">SUM(P76:P86)</f>
        <v>0</v>
      </c>
      <c r="Q87" s="1845">
        <f t="shared" si="32"/>
        <v>0</v>
      </c>
      <c r="R87" s="1845">
        <f t="shared" si="32"/>
        <v>0</v>
      </c>
      <c r="S87" s="1767"/>
      <c r="T87" s="1846"/>
      <c r="U87" s="1667">
        <f>SUM(U76:U86)</f>
        <v>0</v>
      </c>
      <c r="V87" s="2147">
        <f>SUM(V76:V86)</f>
        <v>0</v>
      </c>
      <c r="W87" s="1847"/>
      <c r="X87" s="1750"/>
    </row>
    <row r="88" spans="1:24" ht="15" customHeight="1" thickTop="1" thickBot="1" x14ac:dyDescent="0.25">
      <c r="A88" s="2125">
        <v>88</v>
      </c>
      <c r="B88" s="1848"/>
      <c r="C88" s="1849">
        <f t="shared" ref="C88:R88" si="34">+C21+C33+C45+C65+C74+C87</f>
        <v>7470</v>
      </c>
      <c r="D88" s="1849">
        <f t="shared" si="34"/>
        <v>5178</v>
      </c>
      <c r="E88" s="1849">
        <f t="shared" si="34"/>
        <v>10664</v>
      </c>
      <c r="F88" s="1849">
        <f t="shared" si="34"/>
        <v>-88</v>
      </c>
      <c r="G88" s="1849">
        <f t="shared" si="34"/>
        <v>4018</v>
      </c>
      <c r="H88" s="1850">
        <f t="shared" si="34"/>
        <v>3600</v>
      </c>
      <c r="I88" s="1850">
        <f t="shared" si="34"/>
        <v>6795.2799999999988</v>
      </c>
      <c r="J88" s="1849">
        <f t="shared" si="34"/>
        <v>5046.4799999999996</v>
      </c>
      <c r="K88" s="1851">
        <f t="shared" si="34"/>
        <v>3998.3199999999997</v>
      </c>
      <c r="L88" s="1851">
        <f t="shared" si="34"/>
        <v>2130.4700000000012</v>
      </c>
      <c r="M88" s="1851">
        <f t="shared" si="34"/>
        <v>-729</v>
      </c>
      <c r="N88" s="1851">
        <f t="shared" si="34"/>
        <v>4156.84</v>
      </c>
      <c r="O88" s="1851">
        <f t="shared" ref="O88:P88" si="35">+O21+O33+O45+O65+O74+O87</f>
        <v>4028.6599999999994</v>
      </c>
      <c r="P88" s="1851">
        <f t="shared" si="35"/>
        <v>-325.01000000000022</v>
      </c>
      <c r="Q88" s="1851">
        <f t="shared" si="34"/>
        <v>712.63999999999839</v>
      </c>
      <c r="R88" s="1851">
        <f t="shared" si="34"/>
        <v>2041.7799999999997</v>
      </c>
      <c r="S88" s="1767"/>
      <c r="T88" s="1852" t="s">
        <v>1088</v>
      </c>
      <c r="U88" s="1668">
        <f>+U21+U33+U45+U65+U74+U87</f>
        <v>0</v>
      </c>
      <c r="V88" s="2148">
        <f>+V21+V33+V45+V65+V74+V87</f>
        <v>5850</v>
      </c>
      <c r="W88" s="1853"/>
      <c r="X88" s="1750"/>
    </row>
    <row r="89" spans="1:24" ht="15" customHeight="1" thickTop="1" x14ac:dyDescent="0.2">
      <c r="A89" s="2102">
        <v>89</v>
      </c>
      <c r="B89" s="1702"/>
      <c r="C89" s="1699"/>
      <c r="D89" s="1771"/>
      <c r="E89" s="1699"/>
      <c r="F89" s="1771"/>
      <c r="G89" s="1771"/>
      <c r="H89" s="1771"/>
      <c r="I89" s="1754"/>
      <c r="J89" s="1771"/>
      <c r="K89" s="1771"/>
      <c r="L89" s="1854" t="s">
        <v>56</v>
      </c>
      <c r="M89" s="1855"/>
      <c r="N89" s="1855"/>
      <c r="O89" s="1855"/>
      <c r="P89" s="1855"/>
      <c r="Q89" s="1855"/>
      <c r="R89" s="2173"/>
      <c r="S89" s="1855"/>
      <c r="T89" s="1855"/>
      <c r="U89" s="1691"/>
      <c r="V89" s="2149"/>
      <c r="W89" s="1856"/>
      <c r="X89" s="2639"/>
    </row>
    <row r="90" spans="1:24" ht="15" hidden="1" customHeight="1" thickTop="1" thickBot="1" x14ac:dyDescent="0.2">
      <c r="A90" s="2125">
        <v>90</v>
      </c>
      <c r="B90" s="411"/>
      <c r="C90" s="1759">
        <v>-500</v>
      </c>
      <c r="D90" s="1759">
        <v>-500</v>
      </c>
      <c r="E90" s="1759">
        <v>-500</v>
      </c>
      <c r="F90" s="1759">
        <v>-500</v>
      </c>
      <c r="G90" s="1759">
        <v>-500</v>
      </c>
      <c r="H90" s="1737">
        <v>-500</v>
      </c>
      <c r="I90" s="1737">
        <v>-500</v>
      </c>
      <c r="J90" s="1759">
        <v>-500</v>
      </c>
      <c r="K90" s="1776">
        <v>-500</v>
      </c>
      <c r="L90" s="1760">
        <v>0</v>
      </c>
      <c r="M90" s="1760">
        <v>0</v>
      </c>
      <c r="N90" s="1760">
        <v>0</v>
      </c>
      <c r="O90" s="1811"/>
      <c r="P90" s="1811"/>
      <c r="Q90" s="1811"/>
      <c r="R90" s="2174" t="s">
        <v>984</v>
      </c>
      <c r="S90" s="1741"/>
      <c r="T90" s="1857" t="s">
        <v>57</v>
      </c>
      <c r="U90" s="1669" t="s">
        <v>984</v>
      </c>
      <c r="V90" s="2150" t="s">
        <v>984</v>
      </c>
      <c r="W90" s="1719"/>
      <c r="X90" s="1750"/>
    </row>
    <row r="91" spans="1:24" ht="15" hidden="1" customHeight="1" x14ac:dyDescent="0.2">
      <c r="A91" s="2102">
        <v>91</v>
      </c>
      <c r="B91" s="411"/>
      <c r="C91" s="1759"/>
      <c r="D91" s="1759"/>
      <c r="E91" s="1759"/>
      <c r="F91" s="1759">
        <v>-108</v>
      </c>
      <c r="G91" s="1759">
        <v>-108</v>
      </c>
      <c r="H91" s="1737">
        <v>-108</v>
      </c>
      <c r="I91" s="1737">
        <v>-108</v>
      </c>
      <c r="J91" s="1759">
        <v>-108</v>
      </c>
      <c r="K91" s="1776"/>
      <c r="L91" s="1760">
        <v>0</v>
      </c>
      <c r="M91" s="1760">
        <v>0</v>
      </c>
      <c r="N91" s="1760">
        <v>0</v>
      </c>
      <c r="O91" s="1811"/>
      <c r="P91" s="1811"/>
      <c r="Q91" s="1811"/>
      <c r="R91" s="2175"/>
      <c r="S91" s="1741"/>
      <c r="T91" s="1857" t="s">
        <v>901</v>
      </c>
      <c r="U91" s="1670"/>
      <c r="V91" s="2151"/>
      <c r="W91" s="1719"/>
      <c r="X91" s="1750"/>
    </row>
    <row r="92" spans="1:24" ht="15" hidden="1" customHeight="1" x14ac:dyDescent="0.2">
      <c r="A92" s="2125">
        <v>92</v>
      </c>
      <c r="B92" s="411"/>
      <c r="C92" s="1759"/>
      <c r="D92" s="1759"/>
      <c r="E92" s="1759"/>
      <c r="F92" s="1759">
        <v>-156</v>
      </c>
      <c r="G92" s="1759">
        <v>-156</v>
      </c>
      <c r="H92" s="1737">
        <v>-156</v>
      </c>
      <c r="I92" s="1737">
        <v>-156</v>
      </c>
      <c r="J92" s="1759">
        <v>-156</v>
      </c>
      <c r="K92" s="1776"/>
      <c r="L92" s="1760">
        <v>0</v>
      </c>
      <c r="M92" s="1760">
        <v>0</v>
      </c>
      <c r="N92" s="1760">
        <v>0</v>
      </c>
      <c r="O92" s="1811"/>
      <c r="P92" s="1811"/>
      <c r="Q92" s="1811"/>
      <c r="R92" s="2175"/>
      <c r="S92" s="1741"/>
      <c r="T92" s="1857" t="s">
        <v>902</v>
      </c>
      <c r="U92" s="1670"/>
      <c r="V92" s="2151"/>
      <c r="W92" s="1719"/>
      <c r="X92" s="1750"/>
    </row>
    <row r="93" spans="1:24" ht="15" hidden="1" customHeight="1" x14ac:dyDescent="0.2">
      <c r="A93" s="2102">
        <v>93</v>
      </c>
      <c r="B93" s="411"/>
      <c r="C93" s="1759"/>
      <c r="D93" s="1759"/>
      <c r="E93" s="1759"/>
      <c r="F93" s="1759"/>
      <c r="G93" s="1759">
        <v>-186</v>
      </c>
      <c r="H93" s="1737">
        <v>-186</v>
      </c>
      <c r="I93" s="1737">
        <v>-186</v>
      </c>
      <c r="J93" s="1759">
        <v>-186</v>
      </c>
      <c r="K93" s="1776">
        <v>-188</v>
      </c>
      <c r="L93" s="1760">
        <v>0</v>
      </c>
      <c r="M93" s="1760">
        <v>0</v>
      </c>
      <c r="N93" s="1760">
        <v>0</v>
      </c>
      <c r="O93" s="1811"/>
      <c r="P93" s="1811"/>
      <c r="Q93" s="1811"/>
      <c r="R93" s="2175"/>
      <c r="S93" s="1741"/>
      <c r="T93" s="1857" t="s">
        <v>903</v>
      </c>
      <c r="U93" s="1670"/>
      <c r="V93" s="2151"/>
      <c r="W93" s="1719"/>
      <c r="X93" s="1750"/>
    </row>
    <row r="94" spans="1:24" ht="15" customHeight="1" x14ac:dyDescent="0.2">
      <c r="A94" s="2125">
        <v>94</v>
      </c>
      <c r="B94" s="411"/>
      <c r="C94" s="1736"/>
      <c r="D94" s="1736"/>
      <c r="E94" s="1736"/>
      <c r="F94" s="1736"/>
      <c r="G94" s="1759"/>
      <c r="H94" s="1737"/>
      <c r="I94" s="1737">
        <v>-70</v>
      </c>
      <c r="J94" s="1759">
        <v>-70</v>
      </c>
      <c r="K94" s="1776">
        <v>-70</v>
      </c>
      <c r="L94" s="1760">
        <v>-70</v>
      </c>
      <c r="M94" s="1787">
        <v>-70</v>
      </c>
      <c r="N94" s="1760">
        <v>0</v>
      </c>
      <c r="O94" s="1760"/>
      <c r="P94" s="1760"/>
      <c r="Q94" s="1760"/>
      <c r="R94" s="2178" t="s">
        <v>1087</v>
      </c>
      <c r="S94" s="1741"/>
      <c r="T94" s="1857" t="s">
        <v>179</v>
      </c>
      <c r="U94" s="2184" t="s">
        <v>1087</v>
      </c>
      <c r="V94" s="2194" t="s">
        <v>1087</v>
      </c>
      <c r="W94" s="1719"/>
      <c r="X94" s="1750"/>
    </row>
    <row r="95" spans="1:24" ht="15" customHeight="1" x14ac:dyDescent="0.2">
      <c r="A95" s="2102">
        <v>95</v>
      </c>
      <c r="B95" s="411"/>
      <c r="C95" s="1736"/>
      <c r="D95" s="1736"/>
      <c r="E95" s="1736"/>
      <c r="F95" s="1736"/>
      <c r="G95" s="1759"/>
      <c r="H95" s="1737"/>
      <c r="I95" s="1737">
        <v>-341</v>
      </c>
      <c r="J95" s="1759">
        <v>-341</v>
      </c>
      <c r="K95" s="1776">
        <v>-341</v>
      </c>
      <c r="L95" s="1760">
        <v>-341</v>
      </c>
      <c r="M95" s="1787">
        <v>-339</v>
      </c>
      <c r="N95" s="1760">
        <v>0</v>
      </c>
      <c r="O95" s="1760"/>
      <c r="P95" s="1760"/>
      <c r="Q95" s="1760"/>
      <c r="R95" s="2179"/>
      <c r="S95" s="1741"/>
      <c r="T95" s="1857" t="s">
        <v>59</v>
      </c>
      <c r="U95" s="2185"/>
      <c r="V95" s="2195"/>
      <c r="W95" s="1719"/>
      <c r="X95" s="1750"/>
    </row>
    <row r="96" spans="1:24" ht="15" customHeight="1" x14ac:dyDescent="0.2">
      <c r="A96" s="2125">
        <v>96</v>
      </c>
      <c r="B96" s="411"/>
      <c r="C96" s="1759"/>
      <c r="D96" s="1759"/>
      <c r="E96" s="1759"/>
      <c r="F96" s="1759"/>
      <c r="G96" s="1759"/>
      <c r="H96" s="1737"/>
      <c r="I96" s="1737"/>
      <c r="J96" s="1759">
        <v>-240</v>
      </c>
      <c r="K96" s="1776">
        <v>-240</v>
      </c>
      <c r="L96" s="1760">
        <v>-240</v>
      </c>
      <c r="M96" s="1787">
        <v>-240</v>
      </c>
      <c r="N96" s="1760">
        <v>-240</v>
      </c>
      <c r="O96" s="1760"/>
      <c r="P96" s="1760"/>
      <c r="Q96" s="1760"/>
      <c r="R96" s="2179"/>
      <c r="S96" s="1741"/>
      <c r="T96" s="1858" t="s">
        <v>419</v>
      </c>
      <c r="U96" s="2185"/>
      <c r="V96" s="2195"/>
      <c r="W96" s="1719"/>
      <c r="X96" s="2630"/>
    </row>
    <row r="97" spans="1:24" ht="15" customHeight="1" x14ac:dyDescent="0.2">
      <c r="A97" s="2102">
        <v>97</v>
      </c>
      <c r="B97" s="411"/>
      <c r="C97" s="1736"/>
      <c r="D97" s="1736"/>
      <c r="E97" s="1736"/>
      <c r="F97" s="1736"/>
      <c r="G97" s="1759"/>
      <c r="H97" s="1737"/>
      <c r="I97" s="1737"/>
      <c r="J97" s="1759"/>
      <c r="K97" s="1776">
        <v>-148</v>
      </c>
      <c r="L97" s="1760">
        <v>-148</v>
      </c>
      <c r="M97" s="1787">
        <v>-148</v>
      </c>
      <c r="N97" s="1787">
        <v>-148</v>
      </c>
      <c r="O97" s="1787">
        <v>-148</v>
      </c>
      <c r="P97" s="1787"/>
      <c r="Q97" s="1787"/>
      <c r="R97" s="2179"/>
      <c r="S97" s="1741"/>
      <c r="T97" s="1858" t="s">
        <v>640</v>
      </c>
      <c r="U97" s="2185"/>
      <c r="V97" s="2195"/>
      <c r="W97" s="1719"/>
      <c r="X97" s="2630"/>
    </row>
    <row r="98" spans="1:24" ht="15" customHeight="1" x14ac:dyDescent="0.2">
      <c r="A98" s="2125">
        <v>98</v>
      </c>
      <c r="B98" s="51"/>
      <c r="C98" s="1736"/>
      <c r="D98" s="1736"/>
      <c r="E98" s="1736"/>
      <c r="F98" s="1736"/>
      <c r="G98" s="1759"/>
      <c r="H98" s="1737"/>
      <c r="I98" s="1737"/>
      <c r="J98" s="1759"/>
      <c r="K98" s="1776"/>
      <c r="L98" s="1760"/>
      <c r="M98" s="1787">
        <v>-123</v>
      </c>
      <c r="N98" s="1787">
        <v>-123</v>
      </c>
      <c r="O98" s="1787">
        <v>-123</v>
      </c>
      <c r="P98" s="1787">
        <v>-123</v>
      </c>
      <c r="Q98" s="1787">
        <v>-123</v>
      </c>
      <c r="R98" s="2180"/>
      <c r="S98" s="1741"/>
      <c r="T98" s="1858" t="s">
        <v>860</v>
      </c>
      <c r="U98" s="2185"/>
      <c r="V98" s="2196"/>
      <c r="W98" s="335"/>
      <c r="X98" s="2630"/>
    </row>
    <row r="99" spans="1:24" ht="15" customHeight="1" x14ac:dyDescent="0.2">
      <c r="A99" s="2102">
        <v>99</v>
      </c>
      <c r="B99" s="51" t="s">
        <v>1440</v>
      </c>
      <c r="C99" s="1759"/>
      <c r="D99" s="1759"/>
      <c r="E99" s="1759"/>
      <c r="F99" s="1759"/>
      <c r="G99" s="1759"/>
      <c r="H99" s="1737"/>
      <c r="I99" s="1737"/>
      <c r="J99" s="1759"/>
      <c r="K99" s="1776"/>
      <c r="L99" s="1760"/>
      <c r="M99" s="1760"/>
      <c r="N99" s="1760">
        <v>-270</v>
      </c>
      <c r="O99" s="1760">
        <v>-270</v>
      </c>
      <c r="P99" s="1760">
        <v>-270</v>
      </c>
      <c r="Q99" s="1760">
        <v>-270</v>
      </c>
      <c r="R99" s="1760">
        <v>-270</v>
      </c>
      <c r="S99" s="1741"/>
      <c r="T99" s="737" t="s">
        <v>966</v>
      </c>
      <c r="U99" s="2186"/>
      <c r="V99" s="2152"/>
      <c r="W99" s="1859"/>
      <c r="X99" s="2630"/>
    </row>
    <row r="100" spans="1:24" ht="15" customHeight="1" x14ac:dyDescent="0.2">
      <c r="A100" s="2125">
        <v>100</v>
      </c>
      <c r="B100" s="51" t="s">
        <v>1438</v>
      </c>
      <c r="C100" s="1736"/>
      <c r="D100" s="1736"/>
      <c r="E100" s="1736"/>
      <c r="F100" s="1736"/>
      <c r="G100" s="1759"/>
      <c r="H100" s="1737"/>
      <c r="I100" s="1737"/>
      <c r="J100" s="1759">
        <v>-257</v>
      </c>
      <c r="K100" s="1776">
        <v>-257</v>
      </c>
      <c r="L100" s="1760">
        <v>-257</v>
      </c>
      <c r="M100" s="1787">
        <v>-257</v>
      </c>
      <c r="N100" s="1787">
        <v>-257</v>
      </c>
      <c r="O100" s="1787">
        <v>-257</v>
      </c>
      <c r="P100" s="1787">
        <v>-257</v>
      </c>
      <c r="Q100" s="1787">
        <v>-257</v>
      </c>
      <c r="R100" s="1787">
        <v>-257</v>
      </c>
      <c r="S100" s="1741"/>
      <c r="T100" s="12" t="s">
        <v>361</v>
      </c>
      <c r="U100" s="1661">
        <v>-257</v>
      </c>
      <c r="V100" s="2152"/>
      <c r="W100" s="1859"/>
      <c r="X100" s="2630"/>
    </row>
    <row r="101" spans="1:24" ht="15" customHeight="1" x14ac:dyDescent="0.2">
      <c r="A101" s="2102">
        <v>101</v>
      </c>
      <c r="B101" s="51" t="s">
        <v>1439</v>
      </c>
      <c r="C101" s="1736"/>
      <c r="D101" s="1736"/>
      <c r="E101" s="1736"/>
      <c r="F101" s="1736"/>
      <c r="G101" s="1759"/>
      <c r="H101" s="1737"/>
      <c r="I101" s="1737"/>
      <c r="J101" s="1759">
        <v>-192</v>
      </c>
      <c r="K101" s="1776">
        <v>-192</v>
      </c>
      <c r="L101" s="1760">
        <v>-192</v>
      </c>
      <c r="M101" s="1787">
        <v>-192</v>
      </c>
      <c r="N101" s="1787">
        <v>-192</v>
      </c>
      <c r="O101" s="1787">
        <v>-192</v>
      </c>
      <c r="P101" s="1787">
        <v>-192</v>
      </c>
      <c r="Q101" s="1787">
        <v>-192</v>
      </c>
      <c r="R101" s="1787">
        <v>-192</v>
      </c>
      <c r="S101" s="1741"/>
      <c r="T101" s="12" t="s">
        <v>422</v>
      </c>
      <c r="U101" s="1661">
        <v>-192</v>
      </c>
      <c r="V101" s="2152"/>
      <c r="W101" s="1859"/>
      <c r="X101" s="2630"/>
    </row>
    <row r="102" spans="1:24" ht="15" customHeight="1" x14ac:dyDescent="0.2">
      <c r="A102" s="2125">
        <v>102</v>
      </c>
      <c r="B102" s="51" t="s">
        <v>1442</v>
      </c>
      <c r="C102" s="1759"/>
      <c r="D102" s="1759"/>
      <c r="E102" s="1759"/>
      <c r="F102" s="1759"/>
      <c r="G102" s="1759">
        <v>-323</v>
      </c>
      <c r="H102" s="1737">
        <v>-323</v>
      </c>
      <c r="I102" s="1737">
        <v>-323</v>
      </c>
      <c r="J102" s="1759">
        <v>-323</v>
      </c>
      <c r="K102" s="1776">
        <v>-323</v>
      </c>
      <c r="L102" s="1760">
        <v>-323</v>
      </c>
      <c r="M102" s="1760">
        <v>-323</v>
      </c>
      <c r="N102" s="1760">
        <v>-323</v>
      </c>
      <c r="O102" s="1760">
        <v>-323</v>
      </c>
      <c r="P102" s="1760">
        <v>-323</v>
      </c>
      <c r="Q102" s="1760">
        <v>-323</v>
      </c>
      <c r="R102" s="1760">
        <v>-323</v>
      </c>
      <c r="S102" s="1741"/>
      <c r="T102" s="737" t="s">
        <v>60</v>
      </c>
      <c r="U102" s="1661">
        <v>-323</v>
      </c>
      <c r="V102" s="2152"/>
      <c r="W102" s="1859"/>
      <c r="X102" s="2630"/>
    </row>
    <row r="103" spans="1:24" ht="15" customHeight="1" x14ac:dyDescent="0.2">
      <c r="A103" s="2102">
        <v>103</v>
      </c>
      <c r="B103" s="51" t="s">
        <v>1418</v>
      </c>
      <c r="C103" s="1736"/>
      <c r="D103" s="1736"/>
      <c r="E103" s="1736"/>
      <c r="F103" s="1736"/>
      <c r="G103" s="1759"/>
      <c r="H103" s="1737"/>
      <c r="I103" s="1737"/>
      <c r="J103" s="1759"/>
      <c r="K103" s="1776"/>
      <c r="L103" s="1760">
        <v>-441</v>
      </c>
      <c r="M103" s="1760">
        <v>-441</v>
      </c>
      <c r="N103" s="1760">
        <v>-441</v>
      </c>
      <c r="O103" s="1760">
        <v>-441</v>
      </c>
      <c r="P103" s="1760">
        <v>-441</v>
      </c>
      <c r="Q103" s="1760">
        <v>-441</v>
      </c>
      <c r="R103" s="1760">
        <v>-441</v>
      </c>
      <c r="S103" s="1741"/>
      <c r="T103" s="12" t="s">
        <v>694</v>
      </c>
      <c r="U103" s="1661">
        <v>-441</v>
      </c>
      <c r="V103" s="2152"/>
      <c r="W103" s="1859"/>
      <c r="X103" s="2630"/>
    </row>
    <row r="104" spans="1:24" ht="15" customHeight="1" x14ac:dyDescent="0.2">
      <c r="A104" s="2125">
        <v>104</v>
      </c>
      <c r="B104" s="51" t="s">
        <v>1441</v>
      </c>
      <c r="C104" s="1860"/>
      <c r="D104" s="1860"/>
      <c r="E104" s="1860"/>
      <c r="F104" s="1860"/>
      <c r="G104" s="1861"/>
      <c r="H104" s="1862"/>
      <c r="I104" s="1862"/>
      <c r="J104" s="1861"/>
      <c r="K104" s="1863"/>
      <c r="L104" s="1760"/>
      <c r="M104" s="1760"/>
      <c r="N104" s="1760"/>
      <c r="O104" s="1760"/>
      <c r="P104" s="1760"/>
      <c r="Q104" s="1760">
        <v>-319</v>
      </c>
      <c r="R104" s="1760">
        <v>-319</v>
      </c>
      <c r="S104" s="1741"/>
      <c r="T104" s="12" t="s">
        <v>1384</v>
      </c>
      <c r="U104" s="1661">
        <v>-319</v>
      </c>
      <c r="V104" s="2152"/>
      <c r="W104" s="1859"/>
      <c r="X104" s="2630"/>
    </row>
    <row r="105" spans="1:24" ht="15" customHeight="1" thickBot="1" x14ac:dyDescent="0.25">
      <c r="A105" s="2102">
        <v>105</v>
      </c>
      <c r="B105" s="1864"/>
      <c r="C105" s="1765">
        <f t="shared" ref="C105:P105" si="36">SUM(C90:C103)</f>
        <v>-500</v>
      </c>
      <c r="D105" s="1765">
        <f t="shared" si="36"/>
        <v>-500</v>
      </c>
      <c r="E105" s="1765">
        <f t="shared" si="36"/>
        <v>-500</v>
      </c>
      <c r="F105" s="1765">
        <f t="shared" si="36"/>
        <v>-764</v>
      </c>
      <c r="G105" s="1765">
        <f t="shared" si="36"/>
        <v>-1273</v>
      </c>
      <c r="H105" s="1766">
        <f t="shared" si="36"/>
        <v>-1273</v>
      </c>
      <c r="I105" s="1766">
        <f t="shared" si="36"/>
        <v>-1684</v>
      </c>
      <c r="J105" s="1765">
        <f t="shared" si="36"/>
        <v>-2373</v>
      </c>
      <c r="K105" s="1766">
        <f t="shared" si="36"/>
        <v>-2259</v>
      </c>
      <c r="L105" s="1747">
        <f t="shared" si="36"/>
        <v>-2012</v>
      </c>
      <c r="M105" s="1747">
        <f t="shared" si="36"/>
        <v>-2133</v>
      </c>
      <c r="N105" s="1747">
        <f t="shared" si="36"/>
        <v>-1994</v>
      </c>
      <c r="O105" s="1747">
        <f t="shared" si="36"/>
        <v>-1754</v>
      </c>
      <c r="P105" s="1747">
        <f t="shared" si="36"/>
        <v>-1606</v>
      </c>
      <c r="Q105" s="1747">
        <f>SUM(Q90:Q104)</f>
        <v>-1925</v>
      </c>
      <c r="R105" s="1747">
        <f>SUM(R90:R104)</f>
        <v>-1802</v>
      </c>
      <c r="S105" s="1767"/>
      <c r="T105" s="1749" t="s">
        <v>61</v>
      </c>
      <c r="U105" s="1671">
        <f>SUM(U94:U104)</f>
        <v>-1532</v>
      </c>
      <c r="V105" s="2153"/>
      <c r="W105" s="335"/>
      <c r="X105" s="1750"/>
    </row>
    <row r="106" spans="1:24" ht="15" hidden="1" customHeight="1" thickBot="1" x14ac:dyDescent="0.25">
      <c r="A106" s="2125">
        <v>106</v>
      </c>
      <c r="B106" s="176"/>
      <c r="D106" s="1866"/>
      <c r="E106" s="1867"/>
      <c r="F106" s="1866"/>
      <c r="G106" s="1866"/>
      <c r="H106" s="1866"/>
      <c r="I106" s="1867"/>
      <c r="J106" s="1866"/>
      <c r="K106" s="1866"/>
      <c r="L106" s="1868"/>
      <c r="M106" s="1869"/>
      <c r="N106" s="1869"/>
      <c r="O106" s="1869"/>
      <c r="P106" s="1869"/>
      <c r="Q106" s="1869"/>
      <c r="R106" s="1869"/>
      <c r="S106" s="1870"/>
      <c r="T106" s="1871"/>
      <c r="U106" s="1672"/>
      <c r="V106" s="2154"/>
      <c r="W106" s="1872"/>
      <c r="X106" s="2640"/>
    </row>
    <row r="107" spans="1:24" ht="15" customHeight="1" thickTop="1" thickBot="1" x14ac:dyDescent="0.25">
      <c r="A107" s="2102">
        <v>107</v>
      </c>
      <c r="B107" s="1873"/>
      <c r="C107" s="1874">
        <f t="shared" ref="C107:R107" si="37">+C88+C105</f>
        <v>6970</v>
      </c>
      <c r="D107" s="1874">
        <f t="shared" si="37"/>
        <v>4678</v>
      </c>
      <c r="E107" s="1874">
        <f t="shared" si="37"/>
        <v>10164</v>
      </c>
      <c r="F107" s="1874">
        <f t="shared" si="37"/>
        <v>-852</v>
      </c>
      <c r="G107" s="1874">
        <f t="shared" si="37"/>
        <v>2745</v>
      </c>
      <c r="H107" s="1875">
        <f t="shared" si="37"/>
        <v>2327</v>
      </c>
      <c r="I107" s="1875">
        <f t="shared" si="37"/>
        <v>5111.2799999999988</v>
      </c>
      <c r="J107" s="1874">
        <f t="shared" si="37"/>
        <v>2673.4799999999996</v>
      </c>
      <c r="K107" s="1875">
        <f t="shared" si="37"/>
        <v>1739.3199999999997</v>
      </c>
      <c r="L107" s="1876">
        <f t="shared" si="37"/>
        <v>118.47000000000116</v>
      </c>
      <c r="M107" s="1877">
        <f t="shared" si="37"/>
        <v>-2862</v>
      </c>
      <c r="N107" s="1877">
        <f t="shared" si="37"/>
        <v>2162.84</v>
      </c>
      <c r="O107" s="1877">
        <f t="shared" si="37"/>
        <v>2274.6599999999994</v>
      </c>
      <c r="P107" s="1877">
        <f t="shared" si="37"/>
        <v>-1931.0100000000002</v>
      </c>
      <c r="Q107" s="1877">
        <f t="shared" si="37"/>
        <v>-1212.3600000000015</v>
      </c>
      <c r="R107" s="1877">
        <f t="shared" si="37"/>
        <v>239.77999999999975</v>
      </c>
      <c r="S107" s="1878"/>
      <c r="T107" s="1879" t="s">
        <v>1090</v>
      </c>
      <c r="U107" s="1673">
        <f>+U88+U105</f>
        <v>-1532</v>
      </c>
      <c r="V107" s="2155">
        <f>+V88+V105</f>
        <v>5850</v>
      </c>
      <c r="W107" s="1880"/>
      <c r="X107" s="2641"/>
    </row>
    <row r="108" spans="1:24" ht="6.5" customHeight="1" thickTop="1" thickBot="1" x14ac:dyDescent="0.25">
      <c r="A108" s="2125">
        <v>108</v>
      </c>
      <c r="B108" s="1881"/>
      <c r="C108" s="1882"/>
      <c r="D108" s="1883"/>
      <c r="E108" s="1699"/>
      <c r="F108" s="1699"/>
      <c r="G108" s="1699"/>
      <c r="H108" s="1753"/>
      <c r="I108" s="1754"/>
      <c r="J108" s="1754"/>
      <c r="L108" s="1885"/>
      <c r="M108" s="1886"/>
      <c r="N108" s="1886"/>
      <c r="O108" s="1887"/>
      <c r="P108" s="1887"/>
      <c r="Q108" s="1887"/>
      <c r="R108" s="2176"/>
      <c r="S108" s="1878"/>
      <c r="T108" s="1888"/>
      <c r="U108" s="1674"/>
      <c r="V108" s="2156"/>
      <c r="W108" s="1889"/>
      <c r="X108" s="2632"/>
    </row>
    <row r="109" spans="1:24" ht="15" customHeight="1" thickTop="1" x14ac:dyDescent="0.2">
      <c r="A109" s="2102">
        <v>109</v>
      </c>
      <c r="B109" s="846"/>
      <c r="C109" s="1882"/>
      <c r="D109" s="1883"/>
      <c r="E109" s="1699"/>
      <c r="F109" s="1699"/>
      <c r="G109" s="1699"/>
      <c r="H109" s="1753"/>
      <c r="I109" s="1754"/>
      <c r="J109" s="1754"/>
      <c r="L109" s="1890"/>
      <c r="M109" s="1891"/>
      <c r="N109" s="1891"/>
      <c r="O109" s="1892"/>
      <c r="P109" s="1892"/>
      <c r="Q109" s="1892"/>
      <c r="R109" s="2177"/>
      <c r="S109" s="1878"/>
      <c r="T109" s="846" t="s">
        <v>489</v>
      </c>
      <c r="U109" s="1675"/>
      <c r="V109" s="2157"/>
      <c r="W109" s="1891"/>
      <c r="X109" s="1930"/>
    </row>
    <row r="110" spans="1:24" ht="15" customHeight="1" x14ac:dyDescent="0.2">
      <c r="A110" s="2125">
        <v>110</v>
      </c>
      <c r="B110" s="338"/>
      <c r="C110" s="1699"/>
      <c r="D110" s="1699"/>
      <c r="E110" s="1699"/>
      <c r="F110" s="1699"/>
      <c r="G110" s="1699"/>
      <c r="H110" s="1753"/>
      <c r="I110" s="1754"/>
      <c r="J110" s="1754"/>
      <c r="L110" s="1893">
        <v>2019</v>
      </c>
      <c r="M110" s="1893">
        <v>2020</v>
      </c>
      <c r="N110" s="1893">
        <v>2021</v>
      </c>
      <c r="O110" s="1893">
        <v>2022</v>
      </c>
      <c r="P110" s="1893">
        <v>2023</v>
      </c>
      <c r="Q110" s="1893">
        <v>2024</v>
      </c>
      <c r="R110" s="1893">
        <v>2025</v>
      </c>
      <c r="S110" s="1878"/>
      <c r="T110" s="12"/>
      <c r="U110" s="1676">
        <v>2026</v>
      </c>
      <c r="V110" s="2158">
        <v>2026</v>
      </c>
      <c r="W110" s="1410"/>
      <c r="X110" s="2642"/>
    </row>
    <row r="111" spans="1:24" ht="15" customHeight="1" x14ac:dyDescent="0.2">
      <c r="A111" s="2102">
        <v>111</v>
      </c>
      <c r="B111" s="411"/>
      <c r="C111" s="1699"/>
      <c r="D111" s="1894"/>
      <c r="E111" s="1699"/>
      <c r="F111" s="1699"/>
      <c r="G111" s="1699"/>
      <c r="H111" s="1753"/>
      <c r="I111" s="1754"/>
      <c r="J111" s="1754"/>
      <c r="L111" s="1776">
        <f t="shared" ref="L111:R111" si="38">+L21</f>
        <v>6554.79</v>
      </c>
      <c r="M111" s="1776">
        <f t="shared" si="38"/>
        <v>3011</v>
      </c>
      <c r="N111" s="1776">
        <f t="shared" si="38"/>
        <v>5387</v>
      </c>
      <c r="O111" s="1776">
        <f t="shared" si="38"/>
        <v>6353.52</v>
      </c>
      <c r="P111" s="1776">
        <f t="shared" si="38"/>
        <v>8383.19</v>
      </c>
      <c r="Q111" s="1776">
        <f t="shared" si="38"/>
        <v>7401.77</v>
      </c>
      <c r="R111" s="1776">
        <f t="shared" si="38"/>
        <v>7312.4</v>
      </c>
      <c r="S111" s="1878"/>
      <c r="T111" s="12" t="s">
        <v>14</v>
      </c>
      <c r="U111" s="1677">
        <f>+U21</f>
        <v>0</v>
      </c>
      <c r="V111" s="2159">
        <f>+V21</f>
        <v>0</v>
      </c>
      <c r="W111" s="1719"/>
      <c r="X111" s="2630"/>
    </row>
    <row r="112" spans="1:24" ht="15" customHeight="1" x14ac:dyDescent="0.2">
      <c r="A112" s="2125">
        <v>112</v>
      </c>
      <c r="B112" s="411"/>
      <c r="C112" s="1699"/>
      <c r="D112" s="1894"/>
      <c r="E112" s="1699"/>
      <c r="F112" s="1699"/>
      <c r="G112" s="1699"/>
      <c r="H112" s="1753"/>
      <c r="I112" s="1754"/>
      <c r="J112" s="1754"/>
      <c r="L112" s="1808">
        <f t="shared" ref="L112:R112" si="39">+L33</f>
        <v>-14633.269999999999</v>
      </c>
      <c r="M112" s="1808">
        <f t="shared" si="39"/>
        <v>-5759</v>
      </c>
      <c r="N112" s="1808">
        <f t="shared" si="39"/>
        <v>-5747</v>
      </c>
      <c r="O112" s="1808">
        <f t="shared" si="39"/>
        <v>-6867.4900000000007</v>
      </c>
      <c r="P112" s="1808">
        <f t="shared" si="39"/>
        <v>-11735.68</v>
      </c>
      <c r="Q112" s="1808">
        <f t="shared" si="39"/>
        <v>-13099.220000000001</v>
      </c>
      <c r="R112" s="1808">
        <f t="shared" si="39"/>
        <v>-11332.9</v>
      </c>
      <c r="S112" s="1878"/>
      <c r="T112" s="12" t="s">
        <v>24</v>
      </c>
      <c r="U112" s="1678">
        <f>+U33</f>
        <v>0</v>
      </c>
      <c r="V112" s="2160">
        <f>+V33</f>
        <v>-150</v>
      </c>
      <c r="W112" s="1719"/>
      <c r="X112" s="2630"/>
    </row>
    <row r="113" spans="1:24" ht="15" customHeight="1" x14ac:dyDescent="0.2">
      <c r="A113" s="2102">
        <v>113</v>
      </c>
      <c r="B113" s="411"/>
      <c r="C113" s="1699"/>
      <c r="D113" s="1894"/>
      <c r="E113" s="1699"/>
      <c r="F113" s="1699"/>
      <c r="G113" s="1699"/>
      <c r="H113" s="1753"/>
      <c r="I113" s="1754"/>
      <c r="J113" s="1754"/>
      <c r="L113" s="1776">
        <f t="shared" ref="L113:R113" si="40">+L45</f>
        <v>4819.07</v>
      </c>
      <c r="M113" s="1776">
        <f t="shared" si="40"/>
        <v>4083</v>
      </c>
      <c r="N113" s="1776">
        <f t="shared" si="40"/>
        <v>3848</v>
      </c>
      <c r="O113" s="1776">
        <f t="shared" si="40"/>
        <v>7196.32</v>
      </c>
      <c r="P113" s="1776">
        <f t="shared" si="40"/>
        <v>6130.91</v>
      </c>
      <c r="Q113" s="1776">
        <f t="shared" si="40"/>
        <v>8711.0499999999993</v>
      </c>
      <c r="R113" s="1776">
        <f t="shared" si="40"/>
        <v>6707.6399999999994</v>
      </c>
      <c r="S113" s="1878"/>
      <c r="T113" s="12" t="s">
        <v>14</v>
      </c>
      <c r="U113" s="1677">
        <f>+U45</f>
        <v>0</v>
      </c>
      <c r="V113" s="2159">
        <f>+V45</f>
        <v>6000</v>
      </c>
      <c r="W113" s="1719"/>
      <c r="X113" s="2630"/>
    </row>
    <row r="114" spans="1:24" ht="15" customHeight="1" x14ac:dyDescent="0.2">
      <c r="A114" s="2125">
        <v>114</v>
      </c>
      <c r="B114" s="411"/>
      <c r="C114" s="1699"/>
      <c r="D114" s="1894"/>
      <c r="E114" s="1699"/>
      <c r="F114" s="1699"/>
      <c r="G114" s="1699"/>
      <c r="H114" s="1753"/>
      <c r="I114" s="1754"/>
      <c r="J114" s="1754"/>
      <c r="L114" s="1760">
        <f t="shared" ref="L114:R114" si="41">+L65</f>
        <v>-3742.8599999999997</v>
      </c>
      <c r="M114" s="1760">
        <f t="shared" si="41"/>
        <v>-2711</v>
      </c>
      <c r="N114" s="1760">
        <f t="shared" si="41"/>
        <v>-2595.6299999999997</v>
      </c>
      <c r="O114" s="1760">
        <f t="shared" si="41"/>
        <v>-3668.9900000000002</v>
      </c>
      <c r="P114" s="1760">
        <f t="shared" si="41"/>
        <v>-3809.9300000000003</v>
      </c>
      <c r="Q114" s="1760">
        <f t="shared" si="41"/>
        <v>-3227.05</v>
      </c>
      <c r="R114" s="1760">
        <f t="shared" si="41"/>
        <v>-6493.58</v>
      </c>
      <c r="S114" s="1878"/>
      <c r="T114" s="12" t="s">
        <v>51</v>
      </c>
      <c r="U114" s="1677">
        <f>+U65</f>
        <v>0</v>
      </c>
      <c r="V114" s="2159">
        <f>+V65</f>
        <v>0</v>
      </c>
      <c r="W114" s="1719"/>
      <c r="X114" s="2630"/>
    </row>
    <row r="115" spans="1:24" ht="15" customHeight="1" x14ac:dyDescent="0.2">
      <c r="A115" s="2102">
        <v>115</v>
      </c>
      <c r="B115" s="411"/>
      <c r="C115" s="1699"/>
      <c r="D115" s="1894"/>
      <c r="E115" s="1699"/>
      <c r="F115" s="1699"/>
      <c r="G115" s="1699"/>
      <c r="H115" s="1753"/>
      <c r="I115" s="1754"/>
      <c r="J115" s="1754"/>
      <c r="L115" s="1760">
        <f t="shared" ref="L115:R115" si="42">+L74</f>
        <v>317.74</v>
      </c>
      <c r="M115" s="1760">
        <f t="shared" si="42"/>
        <v>32</v>
      </c>
      <c r="N115" s="1760">
        <f t="shared" si="42"/>
        <v>1914.47</v>
      </c>
      <c r="O115" s="1760">
        <f t="shared" si="42"/>
        <v>1015.3000000000001</v>
      </c>
      <c r="P115" s="1760">
        <f t="shared" si="42"/>
        <v>706.5</v>
      </c>
      <c r="Q115" s="1760">
        <f t="shared" si="42"/>
        <v>926.09</v>
      </c>
      <c r="R115" s="1760">
        <f t="shared" si="42"/>
        <v>5848.22</v>
      </c>
      <c r="S115" s="1878"/>
      <c r="T115" s="12" t="s">
        <v>55</v>
      </c>
      <c r="U115" s="1677">
        <f>+U74</f>
        <v>0</v>
      </c>
      <c r="V115" s="2159">
        <f>+V74</f>
        <v>0</v>
      </c>
      <c r="W115" s="1719"/>
      <c r="X115" s="2630"/>
    </row>
    <row r="116" spans="1:24" ht="15" customHeight="1" thickBot="1" x14ac:dyDescent="0.25">
      <c r="A116" s="2125">
        <v>116</v>
      </c>
      <c r="B116" s="411"/>
      <c r="C116" s="1699"/>
      <c r="D116" s="1894"/>
      <c r="E116" s="1699"/>
      <c r="F116" s="1699"/>
      <c r="G116" s="1699"/>
      <c r="H116" s="1753"/>
      <c r="I116" s="1754"/>
      <c r="J116" s="1754"/>
      <c r="L116" s="1895">
        <f t="shared" ref="L116:R116" si="43">+L87</f>
        <v>8815</v>
      </c>
      <c r="M116" s="1895">
        <f t="shared" si="43"/>
        <v>615</v>
      </c>
      <c r="N116" s="1895">
        <f t="shared" si="43"/>
        <v>1350</v>
      </c>
      <c r="O116" s="1895">
        <f t="shared" si="43"/>
        <v>0</v>
      </c>
      <c r="P116" s="1895">
        <f t="shared" si="43"/>
        <v>0</v>
      </c>
      <c r="Q116" s="1895">
        <f t="shared" si="43"/>
        <v>0</v>
      </c>
      <c r="R116" s="1895">
        <f t="shared" si="43"/>
        <v>0</v>
      </c>
      <c r="S116" s="1878"/>
      <c r="T116" s="1895" t="s">
        <v>1085</v>
      </c>
      <c r="U116" s="1679">
        <f>+U87</f>
        <v>0</v>
      </c>
      <c r="V116" s="2161">
        <f>+V87</f>
        <v>0</v>
      </c>
      <c r="W116" s="1719"/>
      <c r="X116" s="2630"/>
    </row>
    <row r="117" spans="1:24" ht="15" customHeight="1" thickTop="1" x14ac:dyDescent="0.2">
      <c r="A117" s="2102">
        <v>117</v>
      </c>
      <c r="B117" s="1896"/>
      <c r="C117" s="1699"/>
      <c r="D117" s="1894"/>
      <c r="E117" s="1699"/>
      <c r="F117" s="1699"/>
      <c r="G117" s="1699"/>
      <c r="H117" s="1753"/>
      <c r="I117" s="1754"/>
      <c r="J117" s="1754"/>
      <c r="L117" s="1897">
        <f>SUM(L111:L116)</f>
        <v>2130.4700000000012</v>
      </c>
      <c r="M117" s="1897">
        <f t="shared" ref="M117:Q117" si="44">SUM(M111:M116)</f>
        <v>-729</v>
      </c>
      <c r="N117" s="1897">
        <f t="shared" si="44"/>
        <v>4156.84</v>
      </c>
      <c r="O117" s="1897">
        <f t="shared" ref="O117:P117" si="45">SUM(O111:O116)</f>
        <v>4028.6599999999994</v>
      </c>
      <c r="P117" s="1897">
        <f t="shared" si="45"/>
        <v>-325.01000000000022</v>
      </c>
      <c r="Q117" s="1897">
        <f t="shared" si="44"/>
        <v>712.63999999999839</v>
      </c>
      <c r="R117" s="1897">
        <f t="shared" ref="R117" si="46">SUM(R111:R116)</f>
        <v>2041.7799999999997</v>
      </c>
      <c r="S117" s="1878"/>
      <c r="T117" s="1898" t="s">
        <v>1086</v>
      </c>
      <c r="U117" s="1680">
        <f>SUM(U111:U115)</f>
        <v>0</v>
      </c>
      <c r="V117" s="2162">
        <f>SUM(V111:V115)</f>
        <v>5850</v>
      </c>
      <c r="W117" s="1899"/>
      <c r="X117" s="2643"/>
    </row>
    <row r="118" spans="1:24" ht="15" customHeight="1" x14ac:dyDescent="0.2">
      <c r="A118" s="2125">
        <v>118</v>
      </c>
      <c r="B118" s="317"/>
      <c r="C118" s="1699"/>
      <c r="D118" s="1894"/>
      <c r="E118" s="1699"/>
      <c r="F118" s="1699"/>
      <c r="G118" s="1699"/>
      <c r="H118" s="1753"/>
      <c r="I118" s="1754"/>
      <c r="J118" s="1754"/>
      <c r="L118" s="1809">
        <f t="shared" ref="L118:Q118" si="47">+L105</f>
        <v>-2012</v>
      </c>
      <c r="M118" s="1809">
        <f t="shared" si="47"/>
        <v>-2133</v>
      </c>
      <c r="N118" s="1809">
        <f t="shared" si="47"/>
        <v>-1994</v>
      </c>
      <c r="O118" s="1809">
        <f t="shared" si="47"/>
        <v>-1754</v>
      </c>
      <c r="P118" s="1809">
        <f t="shared" si="47"/>
        <v>-1606</v>
      </c>
      <c r="Q118" s="1809">
        <f t="shared" si="47"/>
        <v>-1925</v>
      </c>
      <c r="R118" s="1809">
        <f t="shared" ref="R118" si="48">+R105</f>
        <v>-1802</v>
      </c>
      <c r="S118" s="1878"/>
      <c r="T118" s="309" t="str">
        <f>+T105</f>
        <v>DEPRECIATION Total</v>
      </c>
      <c r="U118" s="1663">
        <f>+U105</f>
        <v>-1532</v>
      </c>
      <c r="V118" s="2143">
        <f>+V105</f>
        <v>0</v>
      </c>
      <c r="W118" s="1900"/>
      <c r="X118" s="2644"/>
    </row>
    <row r="119" spans="1:24" ht="15" customHeight="1" thickBot="1" x14ac:dyDescent="0.25">
      <c r="A119" s="2102">
        <v>119</v>
      </c>
      <c r="B119" s="284"/>
      <c r="C119" s="1699"/>
      <c r="D119" s="1894"/>
      <c r="E119" s="1699"/>
      <c r="F119" s="1699"/>
      <c r="G119" s="1699"/>
      <c r="H119" s="1753"/>
      <c r="I119" s="1754"/>
      <c r="J119" s="1754"/>
      <c r="L119" s="1901">
        <f t="shared" ref="L119:Q119" si="49">SUM(L117:L118)</f>
        <v>118.47000000000116</v>
      </c>
      <c r="M119" s="1901">
        <f t="shared" si="49"/>
        <v>-2862</v>
      </c>
      <c r="N119" s="1901">
        <f t="shared" si="49"/>
        <v>2162.84</v>
      </c>
      <c r="O119" s="1901">
        <f t="shared" si="49"/>
        <v>2274.6599999999994</v>
      </c>
      <c r="P119" s="1901">
        <f t="shared" si="49"/>
        <v>-1931.0100000000002</v>
      </c>
      <c r="Q119" s="1901">
        <f t="shared" si="49"/>
        <v>-1212.3600000000015</v>
      </c>
      <c r="R119" s="1901">
        <f t="shared" ref="R119" si="50">SUM(R117:R118)</f>
        <v>239.77999999999975</v>
      </c>
      <c r="S119" s="1902"/>
      <c r="T119" s="285" t="s">
        <v>1089</v>
      </c>
      <c r="U119" s="1681">
        <f>SUM(U117:U118)</f>
        <v>-1532</v>
      </c>
      <c r="V119" s="2141">
        <f>SUM(V117:V118)</f>
        <v>5850</v>
      </c>
      <c r="W119" s="468"/>
      <c r="X119" s="2630"/>
    </row>
    <row r="120" spans="1:24" ht="15" customHeight="1" thickTop="1" x14ac:dyDescent="0.2"/>
  </sheetData>
  <sheetProtection selectLockedCells="1" sort="0" autoFilter="0"/>
  <autoFilter ref="A7:W119" xr:uid="{00000000-0001-0000-0000-000000000000}"/>
  <sortState xmlns:xlrd2="http://schemas.microsoft.com/office/spreadsheetml/2017/richdata2" ref="A97:X98">
    <sortCondition ref="Q71:Q73"/>
  </sortState>
  <mergeCells count="11">
    <mergeCell ref="L6:W6"/>
    <mergeCell ref="V94:V98"/>
    <mergeCell ref="L1:T2"/>
    <mergeCell ref="L3:W3"/>
    <mergeCell ref="L4:W4"/>
    <mergeCell ref="L5:W5"/>
    <mergeCell ref="R94:R98"/>
    <mergeCell ref="L8:R8"/>
    <mergeCell ref="U94:U99"/>
    <mergeCell ref="B7:B8"/>
    <mergeCell ref="W7:W8"/>
  </mergeCells>
  <phoneticPr fontId="52" type="noConversion"/>
  <conditionalFormatting sqref="B37:B45">
    <cfRule type="cellIs" dxfId="273" priority="49" operator="equal">
      <formula>0</formula>
    </cfRule>
  </conditionalFormatting>
  <conditionalFormatting sqref="B47:B66">
    <cfRule type="cellIs" dxfId="272" priority="50" operator="equal">
      <formula>0</formula>
    </cfRule>
  </conditionalFormatting>
  <conditionalFormatting sqref="B87 B107:L107 B110:B116 B118">
    <cfRule type="cellIs" dxfId="271" priority="52" operator="equal">
      <formula>0</formula>
    </cfRule>
  </conditionalFormatting>
  <conditionalFormatting sqref="B76:D85">
    <cfRule type="cellIs" dxfId="270" priority="22" operator="equal">
      <formula>0</formula>
    </cfRule>
  </conditionalFormatting>
  <conditionalFormatting sqref="B7:K7 B9 B12 B16:B21">
    <cfRule type="cellIs" dxfId="269" priority="51" operator="equal">
      <formula>0</formula>
    </cfRule>
  </conditionalFormatting>
  <conditionalFormatting sqref="B90:L98 W90:X98 V98 B99:T99 V99:X102 B100:L102 U100:U102 S101:V102 L102:R105 S103:S104 U103:V104 B103:K105 T103:T105 W103:X105">
    <cfRule type="cellIs" dxfId="268" priority="30" operator="equal">
      <formula>0</formula>
    </cfRule>
  </conditionalFormatting>
  <conditionalFormatting sqref="B23:R34 B69:R74">
    <cfRule type="cellIs" dxfId="267" priority="21" operator="equal">
      <formula>0</formula>
    </cfRule>
  </conditionalFormatting>
  <conditionalFormatting sqref="C53:G62">
    <cfRule type="cellIs" dxfId="266" priority="385" operator="equal">
      <formula>0</formula>
    </cfRule>
  </conditionalFormatting>
  <conditionalFormatting sqref="C37:I44">
    <cfRule type="cellIs" dxfId="265" priority="387" operator="equal">
      <formula>0</formula>
    </cfRule>
  </conditionalFormatting>
  <conditionalFormatting sqref="C45:K45">
    <cfRule type="cellIs" dxfId="264" priority="280" operator="equal">
      <formula>0</formula>
    </cfRule>
  </conditionalFormatting>
  <conditionalFormatting sqref="C21:R21">
    <cfRule type="cellIs" dxfId="263" priority="131" operator="equal">
      <formula>0</formula>
    </cfRule>
  </conditionalFormatting>
  <conditionalFormatting sqref="C65:R66">
    <cfRule type="cellIs" dxfId="262" priority="124" operator="equal">
      <formula>0</formula>
    </cfRule>
  </conditionalFormatting>
  <conditionalFormatting sqref="C87:R88">
    <cfRule type="cellIs" dxfId="261" priority="276" operator="equal">
      <formula>0</formula>
    </cfRule>
  </conditionalFormatting>
  <conditionalFormatting sqref="E12">
    <cfRule type="cellIs" dxfId="260" priority="424" operator="equal">
      <formula>0</formula>
    </cfRule>
  </conditionalFormatting>
  <conditionalFormatting sqref="E84">
    <cfRule type="cellIs" dxfId="259" priority="149" operator="equal">
      <formula>0</formula>
    </cfRule>
  </conditionalFormatting>
  <conditionalFormatting sqref="F2:G2">
    <cfRule type="cellIs" dxfId="258" priority="427" operator="equal">
      <formula>0</formula>
    </cfRule>
  </conditionalFormatting>
  <conditionalFormatting sqref="G12">
    <cfRule type="cellIs" dxfId="257" priority="436" operator="equal">
      <formula>0</formula>
    </cfRule>
  </conditionalFormatting>
  <conditionalFormatting sqref="I76:M84">
    <cfRule type="cellIs" dxfId="256" priority="117" operator="equal">
      <formula>0</formula>
    </cfRule>
  </conditionalFormatting>
  <conditionalFormatting sqref="J2 S7:T9 S10:S11 F12:F17 H12:I17 S12:T20 U12:V21 C15:E17 G15:G17 C18:I20 T21 S21:S25 T23:T25 S26:T32 T33:T34 T37 S38:T42 S43 S44:T45 S46:S47 T47 C47:I52 S48:T51 S52:S64 T52:T66 H53:I53 H54 H55:L62 C60:L60 C61:H61 C62:L63 C64:H64 S70:S79 T71:T79 S80:T85 U88:V88 U90:V90 S106:S119 L111:R111 U111:V111 T111:T116 L113:R118 U113:V118 W117 T118">
    <cfRule type="cellIs" dxfId="255" priority="438" operator="equal">
      <formula>0</formula>
    </cfRule>
  </conditionalFormatting>
  <conditionalFormatting sqref="J47:K53">
    <cfRule type="cellIs" dxfId="254" priority="267" operator="equal">
      <formula>0</formula>
    </cfRule>
  </conditionalFormatting>
  <conditionalFormatting sqref="J58:M58">
    <cfRule type="cellIs" dxfId="253" priority="123" operator="equal">
      <formula>0</formula>
    </cfRule>
  </conditionalFormatting>
  <conditionalFormatting sqref="K85:K86">
    <cfRule type="cellIs" dxfId="252" priority="95" operator="equal">
      <formula>0</formula>
    </cfRule>
  </conditionalFormatting>
  <conditionalFormatting sqref="K12:R15">
    <cfRule type="cellIs" dxfId="251" priority="1" operator="equal">
      <formula>0</formula>
    </cfRule>
  </conditionalFormatting>
  <conditionalFormatting sqref="L6:L9">
    <cfRule type="cellIs" dxfId="250" priority="260" operator="equal">
      <formula>0</formula>
    </cfRule>
  </conditionalFormatting>
  <conditionalFormatting sqref="L45:L53">
    <cfRule type="cellIs" dxfId="249" priority="214" operator="equal">
      <formula>0</formula>
    </cfRule>
  </conditionalFormatting>
  <conditionalFormatting sqref="L85">
    <cfRule type="cellIs" dxfId="248" priority="93" operator="equal">
      <formula>0</formula>
    </cfRule>
  </conditionalFormatting>
  <conditionalFormatting sqref="M90:M93">
    <cfRule type="cellIs" dxfId="247" priority="114" operator="equal">
      <formula>0</formula>
    </cfRule>
  </conditionalFormatting>
  <conditionalFormatting sqref="M7:Q7">
    <cfRule type="cellIs" dxfId="246" priority="132" operator="equal">
      <formula>0</formula>
    </cfRule>
  </conditionalFormatting>
  <conditionalFormatting sqref="M45:R45">
    <cfRule type="cellIs" dxfId="245" priority="125" operator="equal">
      <formula>0</formula>
    </cfRule>
  </conditionalFormatting>
  <conditionalFormatting sqref="M47:R53">
    <cfRule type="cellIs" dxfId="244" priority="4" operator="equal">
      <formula>0</formula>
    </cfRule>
  </conditionalFormatting>
  <conditionalFormatting sqref="M55:R63">
    <cfRule type="cellIs" dxfId="243" priority="3" operator="equal">
      <formula>0</formula>
    </cfRule>
  </conditionalFormatting>
  <conditionalFormatting sqref="N90:Q97 S90:T97">
    <cfRule type="cellIs" dxfId="242" priority="55" operator="equal">
      <formula>0</formula>
    </cfRule>
  </conditionalFormatting>
  <conditionalFormatting sqref="N76:R86">
    <cfRule type="cellIs" dxfId="241" priority="2" operator="equal">
      <formula>0</formula>
    </cfRule>
  </conditionalFormatting>
  <conditionalFormatting sqref="R1:R2">
    <cfRule type="cellIs" dxfId="240" priority="11" operator="equal">
      <formula>0</formula>
    </cfRule>
  </conditionalFormatting>
  <conditionalFormatting sqref="R90">
    <cfRule type="cellIs" dxfId="239" priority="14" operator="equal">
      <formula>0</formula>
    </cfRule>
  </conditionalFormatting>
  <conditionalFormatting sqref="R98:S99">
    <cfRule type="cellIs" dxfId="238" priority="9" operator="equal">
      <formula>0</formula>
    </cfRule>
  </conditionalFormatting>
  <conditionalFormatting sqref="S100:T100">
    <cfRule type="cellIs" dxfId="237" priority="328" operator="equal">
      <formula>0</formula>
    </cfRule>
  </conditionalFormatting>
  <conditionalFormatting sqref="T43">
    <cfRule type="cellIs" dxfId="236" priority="333" operator="equal">
      <formula>0</formula>
    </cfRule>
  </conditionalFormatting>
  <conditionalFormatting sqref="T108:T109">
    <cfRule type="cellIs" dxfId="235" priority="377" operator="equal">
      <formula>0</formula>
    </cfRule>
  </conditionalFormatting>
  <conditionalFormatting sqref="U1:V2">
    <cfRule type="cellIs" dxfId="234" priority="8" operator="equal">
      <formula>0</formula>
    </cfRule>
  </conditionalFormatting>
  <conditionalFormatting sqref="U76:V86">
    <cfRule type="cellIs" dxfId="233" priority="269" operator="equal">
      <formula>0</formula>
    </cfRule>
  </conditionalFormatting>
  <conditionalFormatting sqref="U23:X34 U47:X66 U69:X74">
    <cfRule type="cellIs" dxfId="232" priority="62" operator="equal">
      <formula>0</formula>
    </cfRule>
  </conditionalFormatting>
  <conditionalFormatting sqref="U37:X45">
    <cfRule type="cellIs" dxfId="231" priority="7" operator="equal">
      <formula>0</formula>
    </cfRule>
  </conditionalFormatting>
  <conditionalFormatting sqref="W7:X7 W9:X9 W12:X12 W13:W20 X16:X20 W21:X21">
    <cfRule type="cellIs" dxfId="230" priority="144" operator="equal">
      <formula>0</formula>
    </cfRule>
  </conditionalFormatting>
  <conditionalFormatting sqref="W76:X85 T87:X87 T107:X107 W110:X116 W118:X118">
    <cfRule type="cellIs" dxfId="229" priority="316" operator="equal">
      <formula>0</formula>
    </cfRule>
  </conditionalFormatting>
  <hyperlinks>
    <hyperlink ref="V32" location="'19 Sprinkler System'!L14" display="'19 Sprinkler System'!L14" xr:uid="{281E6DF8-085D-4F4D-A8A6-2C0489886AAD}"/>
    <hyperlink ref="V37" location="'20 Annual Dinner'!Q21" display="'20 Annual Dinner'!Q21" xr:uid="{270AE9DB-436A-444A-A302-E315FF7FDDF0}"/>
    <hyperlink ref="V38" location="'21 Plant Sale'!N26" display="'21 Plant Sale'!N26" xr:uid="{6E1BD85D-440C-4756-B3FA-F1727B4515EA}"/>
    <hyperlink ref="V39" location="'22 Quiz Nights'!T25" display="'22 Quiz Nights'!T25" xr:uid="{E490E84D-EC51-46D4-9ECE-2A3E56DCC22C}"/>
    <hyperlink ref="V40" location="'23 Race Night'!T34" display="'23 Race Night'!T34" xr:uid="{C6070DDA-BFE2-41EA-9AD7-A3896B07525E}"/>
    <hyperlink ref="V41" location="'24 Social Events - Other'!O47" display="'24 Social Events - Other'!O47" xr:uid="{95E15CCB-D16E-4DA3-A390-CC27A187FB49}"/>
    <hyperlink ref="V42" location="'25 Sale of Books &amp; Noteletts'!P11" display="'25 Sale of Books &amp; Noteletts'!P11" xr:uid="{FC973565-8303-4648-BB09-40D4538D3760}"/>
    <hyperlink ref="V44" location="'26 100 Quiz'!K10" display="'26 100 Quiz'!K10" xr:uid="{6DB1E26A-6766-4211-B74B-309720E14BB8}"/>
    <hyperlink ref="V43" location="'27 LAV'!R7" display="'27 LAV'!R7" xr:uid="{8936BF1E-554C-4455-A360-804B55B62151}"/>
  </hyperlinks>
  <printOptions horizontalCentered="1"/>
  <pageMargins left="0.31496062992125984" right="0" top="0.59055118110236227" bottom="0.27559055118110237" header="0.43307086614173229" footer="0.11811023622047245"/>
  <pageSetup paperSize="9" scale="62" fitToHeight="2" orientation="portrait" r:id="rId1"/>
  <rowBreaks count="1" manualBreakCount="1">
    <brk id="66" min="1" max="2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FF00"/>
    <pageSetUpPr fitToPage="1"/>
  </sheetPr>
  <dimension ref="A1:T28"/>
  <sheetViews>
    <sheetView zoomScaleNormal="100" zoomScaleSheetLayoutView="100" workbookViewId="0">
      <pane ySplit="5" topLeftCell="A6" activePane="bottomLeft" state="frozen"/>
      <selection activeCell="Y257" sqref="Y257"/>
      <selection pane="bottomLeft" activeCell="Y257" sqref="Y257"/>
    </sheetView>
  </sheetViews>
  <sheetFormatPr baseColWidth="10" defaultColWidth="8.83203125" defaultRowHeight="15" x14ac:dyDescent="0.2"/>
  <cols>
    <col min="1" max="1" width="10.5" style="14" bestFit="1" customWidth="1"/>
    <col min="2" max="2" width="16.83203125" style="14" bestFit="1" customWidth="1"/>
    <col min="3" max="3" width="24.83203125" style="14" customWidth="1"/>
    <col min="4" max="4" width="7.83203125" style="14" hidden="1" customWidth="1"/>
    <col min="5" max="11" width="5" style="14" hidden="1" customWidth="1"/>
    <col min="12" max="12" width="3" style="14" hidden="1" customWidth="1"/>
    <col min="13" max="16" width="5" style="14" hidden="1" customWidth="1"/>
    <col min="17" max="20" width="8.33203125" style="14" customWidth="1"/>
    <col min="21" max="16384" width="8.83203125" style="14"/>
  </cols>
  <sheetData>
    <row r="1" spans="1:20" s="1909" customFormat="1" ht="24" x14ac:dyDescent="0.2">
      <c r="C1" s="2289" t="s">
        <v>725</v>
      </c>
      <c r="D1" s="2289"/>
      <c r="E1" s="2289"/>
      <c r="F1" s="2289"/>
      <c r="G1" s="2289"/>
      <c r="H1" s="2289"/>
      <c r="I1" s="2289"/>
      <c r="J1" s="2289"/>
      <c r="K1" s="2289"/>
      <c r="L1" s="2289"/>
      <c r="M1" s="2289"/>
      <c r="N1" s="2289"/>
      <c r="O1" s="2289"/>
      <c r="P1" s="2289"/>
      <c r="Q1" s="2289"/>
      <c r="R1" s="2289"/>
      <c r="S1" s="2289"/>
      <c r="T1" s="2289"/>
    </row>
    <row r="2" spans="1:20" ht="16" x14ac:dyDescent="0.2">
      <c r="C2" s="2341" t="s">
        <v>11</v>
      </c>
      <c r="D2" s="2341"/>
      <c r="E2" s="2341"/>
      <c r="F2" s="2341"/>
      <c r="G2" s="2341"/>
      <c r="H2" s="2341"/>
      <c r="I2" s="2341"/>
      <c r="J2" s="2341"/>
      <c r="K2" s="2341"/>
      <c r="L2" s="2341"/>
      <c r="M2" s="2341"/>
      <c r="N2" s="2341"/>
      <c r="O2" s="2341"/>
      <c r="P2" s="2341"/>
      <c r="Q2" s="2341"/>
      <c r="R2" s="2341"/>
      <c r="S2" s="2341"/>
      <c r="T2" s="2341"/>
    </row>
    <row r="3" spans="1:20" x14ac:dyDescent="0.2">
      <c r="C3" s="331"/>
      <c r="D3" s="331"/>
      <c r="E3" s="331"/>
      <c r="F3" s="331"/>
      <c r="G3" s="331"/>
      <c r="H3" s="331"/>
      <c r="I3" s="331"/>
      <c r="J3" s="331"/>
      <c r="K3" s="331"/>
      <c r="L3" s="331"/>
      <c r="M3" s="331"/>
      <c r="N3" s="331"/>
      <c r="O3" s="331"/>
      <c r="P3" s="331"/>
      <c r="Q3" s="331"/>
      <c r="R3" s="331"/>
      <c r="S3" s="331"/>
      <c r="T3" s="331"/>
    </row>
    <row r="4" spans="1:20" ht="16" x14ac:dyDescent="0.2">
      <c r="C4" s="866"/>
      <c r="D4" s="170">
        <v>2010</v>
      </c>
      <c r="E4" s="170">
        <v>2011</v>
      </c>
      <c r="F4" s="170">
        <v>2012</v>
      </c>
      <c r="G4" s="170">
        <v>2013</v>
      </c>
      <c r="H4" s="170">
        <v>2014</v>
      </c>
      <c r="I4" s="170">
        <v>2015</v>
      </c>
      <c r="J4" s="170">
        <v>2016</v>
      </c>
      <c r="K4" s="170">
        <v>2017</v>
      </c>
      <c r="L4" s="133"/>
      <c r="M4" s="170">
        <v>2018</v>
      </c>
      <c r="N4" s="170">
        <v>2019</v>
      </c>
      <c r="O4" s="170">
        <v>2020</v>
      </c>
      <c r="P4" s="170">
        <v>2021</v>
      </c>
      <c r="Q4" s="2337" t="s">
        <v>481</v>
      </c>
      <c r="R4" s="2337"/>
      <c r="S4" s="2337"/>
      <c r="T4" s="1475" t="s">
        <v>519</v>
      </c>
    </row>
    <row r="5" spans="1:20" ht="14.5" customHeight="1" x14ac:dyDescent="0.2">
      <c r="C5" s="1223"/>
      <c r="D5" s="369" t="s">
        <v>481</v>
      </c>
      <c r="E5" s="369"/>
      <c r="F5" s="2336" t="s">
        <v>481</v>
      </c>
      <c r="G5" s="2336"/>
      <c r="H5" s="2336"/>
      <c r="I5" s="2336"/>
      <c r="J5" s="2336"/>
      <c r="K5" s="2336"/>
      <c r="L5" s="2336"/>
      <c r="M5" s="2336"/>
      <c r="N5" s="2336"/>
      <c r="O5" s="664"/>
      <c r="P5" s="664"/>
      <c r="Q5" s="170">
        <v>2022</v>
      </c>
      <c r="R5" s="170">
        <v>2023</v>
      </c>
      <c r="S5" s="170">
        <v>2024</v>
      </c>
      <c r="T5" s="1257">
        <v>2025</v>
      </c>
    </row>
    <row r="6" spans="1:20" ht="14.5" customHeight="1" x14ac:dyDescent="0.2">
      <c r="C6" s="1223"/>
      <c r="D6" s="1219">
        <v>258</v>
      </c>
      <c r="E6" s="1219">
        <v>265</v>
      </c>
      <c r="F6" s="1219">
        <v>256</v>
      </c>
      <c r="G6" s="1219">
        <v>111</v>
      </c>
      <c r="H6" s="1219">
        <v>108</v>
      </c>
      <c r="I6" s="739">
        <v>184</v>
      </c>
      <c r="J6" s="739">
        <v>126</v>
      </c>
      <c r="K6" s="1219">
        <v>102</v>
      </c>
      <c r="L6" s="1220"/>
      <c r="M6" s="2339">
        <v>0</v>
      </c>
      <c r="N6" s="2339">
        <v>26</v>
      </c>
      <c r="O6" s="2340"/>
      <c r="P6" s="2339">
        <v>76</v>
      </c>
      <c r="Q6" s="2338">
        <v>72</v>
      </c>
      <c r="R6" s="2338">
        <v>66</v>
      </c>
      <c r="S6" s="1222"/>
      <c r="T6" s="1222"/>
    </row>
    <row r="7" spans="1:20" ht="14.5" customHeight="1" x14ac:dyDescent="0.2">
      <c r="C7" s="1223" t="s">
        <v>993</v>
      </c>
      <c r="D7" s="1219"/>
      <c r="E7" s="1219"/>
      <c r="F7" s="1219"/>
      <c r="G7" s="1219"/>
      <c r="H7" s="1219"/>
      <c r="I7" s="739"/>
      <c r="J7" s="739"/>
      <c r="K7" s="1219"/>
      <c r="L7" s="1220"/>
      <c r="M7" s="2339"/>
      <c r="N7" s="2339"/>
      <c r="O7" s="2340"/>
      <c r="P7" s="2339"/>
      <c r="Q7" s="2338"/>
      <c r="R7" s="2338"/>
      <c r="S7" s="1222"/>
      <c r="T7" s="1222"/>
    </row>
    <row r="8" spans="1:20" ht="14.5" customHeight="1" x14ac:dyDescent="0.2">
      <c r="C8" s="663" t="s">
        <v>994</v>
      </c>
      <c r="D8" s="1219"/>
      <c r="E8" s="1219"/>
      <c r="F8" s="1219"/>
      <c r="G8" s="1219"/>
      <c r="H8" s="1219"/>
      <c r="I8" s="739"/>
      <c r="J8" s="739"/>
      <c r="K8" s="1219"/>
      <c r="L8" s="1219"/>
      <c r="M8" s="2339"/>
      <c r="N8" s="2339"/>
      <c r="O8" s="2340"/>
      <c r="P8" s="2339"/>
      <c r="Q8" s="2338"/>
      <c r="R8" s="2338"/>
      <c r="S8" s="1222"/>
      <c r="T8" s="1222"/>
    </row>
    <row r="9" spans="1:20" ht="14.5" customHeight="1" x14ac:dyDescent="0.2">
      <c r="C9" s="1224" t="s">
        <v>995</v>
      </c>
      <c r="D9" s="1219"/>
      <c r="E9" s="1219"/>
      <c r="F9" s="1219"/>
      <c r="G9" s="1219"/>
      <c r="H9" s="1219"/>
      <c r="I9" s="739"/>
      <c r="J9" s="739"/>
      <c r="K9" s="1219"/>
      <c r="L9" s="1220"/>
      <c r="M9" s="2339"/>
      <c r="N9" s="2339"/>
      <c r="O9" s="2340"/>
      <c r="P9" s="2339"/>
      <c r="Q9" s="2338"/>
      <c r="R9" s="2338"/>
      <c r="S9" s="1222"/>
      <c r="T9" s="1222"/>
    </row>
    <row r="10" spans="1:20" ht="14.5" customHeight="1" x14ac:dyDescent="0.2">
      <c r="C10" s="1224" t="s">
        <v>996</v>
      </c>
      <c r="D10" s="1219"/>
      <c r="E10" s="1219"/>
      <c r="F10" s="1219"/>
      <c r="G10" s="1219"/>
      <c r="H10" s="1219"/>
      <c r="I10" s="739"/>
      <c r="J10" s="739"/>
      <c r="K10" s="1219"/>
      <c r="L10" s="1220"/>
      <c r="M10" s="2339"/>
      <c r="N10" s="2339"/>
      <c r="O10" s="2340"/>
      <c r="P10" s="2339"/>
      <c r="Q10" s="2338"/>
      <c r="R10" s="2338"/>
      <c r="S10" s="1222"/>
      <c r="T10" s="1222"/>
    </row>
    <row r="11" spans="1:20" ht="14.5" customHeight="1" x14ac:dyDescent="0.2">
      <c r="A11" s="1914">
        <v>45471</v>
      </c>
      <c r="B11" s="1915" t="s">
        <v>79</v>
      </c>
      <c r="C11" s="331" t="s">
        <v>1131</v>
      </c>
      <c r="D11" s="1219"/>
      <c r="E11" s="1219"/>
      <c r="F11" s="1219"/>
      <c r="G11" s="1219"/>
      <c r="H11" s="1219"/>
      <c r="I11" s="739"/>
      <c r="J11" s="739"/>
      <c r="K11" s="1219"/>
      <c r="L11" s="1220"/>
      <c r="M11" s="1156"/>
      <c r="N11" s="1156"/>
      <c r="O11" s="1221"/>
      <c r="P11" s="1156"/>
      <c r="Q11" s="1221"/>
      <c r="R11" s="1222"/>
      <c r="S11" s="1225">
        <v>3</v>
      </c>
      <c r="T11" s="1222"/>
    </row>
    <row r="12" spans="1:20" ht="14.5" customHeight="1" x14ac:dyDescent="0.2">
      <c r="A12" s="1916">
        <v>45471</v>
      </c>
      <c r="B12" s="1917" t="s">
        <v>661</v>
      </c>
      <c r="C12" s="330" t="s">
        <v>1132</v>
      </c>
      <c r="D12" s="1219"/>
      <c r="E12" s="1219"/>
      <c r="F12" s="1219"/>
      <c r="G12" s="1219"/>
      <c r="H12" s="1219"/>
      <c r="I12" s="739"/>
      <c r="J12" s="739"/>
      <c r="K12" s="1219"/>
      <c r="L12" s="1220"/>
      <c r="M12" s="1156"/>
      <c r="N12" s="1156"/>
      <c r="O12" s="1221"/>
      <c r="P12" s="1156"/>
      <c r="Q12" s="1221"/>
      <c r="R12" s="1222"/>
      <c r="S12" s="1225">
        <v>6</v>
      </c>
      <c r="T12" s="1222"/>
    </row>
    <row r="13" spans="1:20" ht="14.5" customHeight="1" x14ac:dyDescent="0.2">
      <c r="A13" s="1914">
        <v>45471</v>
      </c>
      <c r="B13" s="1915" t="s">
        <v>96</v>
      </c>
      <c r="C13" s="331" t="s">
        <v>1133</v>
      </c>
      <c r="D13" s="1219"/>
      <c r="E13" s="1219"/>
      <c r="F13" s="1219"/>
      <c r="G13" s="1219"/>
      <c r="H13" s="1219"/>
      <c r="I13" s="739"/>
      <c r="J13" s="739"/>
      <c r="K13" s="1219"/>
      <c r="L13" s="1220"/>
      <c r="M13" s="1156"/>
      <c r="N13" s="1156"/>
      <c r="O13" s="1221"/>
      <c r="P13" s="1156"/>
      <c r="Q13" s="1221"/>
      <c r="R13" s="1222"/>
      <c r="S13" s="1225">
        <v>6</v>
      </c>
      <c r="T13" s="1222"/>
    </row>
    <row r="14" spans="1:20" x14ac:dyDescent="0.2">
      <c r="A14" s="1916">
        <v>45471</v>
      </c>
      <c r="B14" s="1917" t="s">
        <v>146</v>
      </c>
      <c r="C14" s="330" t="s">
        <v>1134</v>
      </c>
      <c r="D14" s="1219"/>
      <c r="E14" s="1219"/>
      <c r="F14" s="1219"/>
      <c r="G14" s="1219"/>
      <c r="H14" s="1219"/>
      <c r="I14" s="739"/>
      <c r="J14" s="739"/>
      <c r="K14" s="1219"/>
      <c r="L14" s="1220"/>
      <c r="M14" s="1156"/>
      <c r="N14" s="1156"/>
      <c r="O14" s="1221"/>
      <c r="P14" s="1156"/>
      <c r="Q14" s="1221"/>
      <c r="R14" s="1222"/>
      <c r="S14" s="1225">
        <v>9</v>
      </c>
      <c r="T14" s="1222"/>
    </row>
    <row r="15" spans="1:20" x14ac:dyDescent="0.2">
      <c r="A15" s="1914">
        <v>45495</v>
      </c>
      <c r="B15" s="1915" t="s">
        <v>912</v>
      </c>
      <c r="C15" s="331" t="s">
        <v>1135</v>
      </c>
      <c r="D15" s="1219"/>
      <c r="E15" s="1219"/>
      <c r="F15" s="1219"/>
      <c r="G15" s="1219"/>
      <c r="H15" s="1219"/>
      <c r="I15" s="739"/>
      <c r="J15" s="739"/>
      <c r="K15" s="1219"/>
      <c r="L15" s="1220"/>
      <c r="M15" s="1156"/>
      <c r="N15" s="1156"/>
      <c r="O15" s="1221"/>
      <c r="P15" s="1156"/>
      <c r="Q15" s="1221"/>
      <c r="R15" s="1222"/>
      <c r="S15" s="1225">
        <v>3</v>
      </c>
      <c r="T15" s="1222"/>
    </row>
    <row r="16" spans="1:20" x14ac:dyDescent="0.2">
      <c r="A16" s="1916">
        <v>45495</v>
      </c>
      <c r="B16" s="1917" t="s">
        <v>1116</v>
      </c>
      <c r="C16" s="330" t="s">
        <v>1135</v>
      </c>
      <c r="D16" s="1219"/>
      <c r="E16" s="1219"/>
      <c r="F16" s="1219"/>
      <c r="G16" s="1219"/>
      <c r="H16" s="1219"/>
      <c r="I16" s="739"/>
      <c r="J16" s="739"/>
      <c r="K16" s="1219"/>
      <c r="L16" s="1220"/>
      <c r="M16" s="1156"/>
      <c r="N16" s="1156"/>
      <c r="O16" s="1221"/>
      <c r="P16" s="1156"/>
      <c r="Q16" s="1221"/>
      <c r="R16" s="1222"/>
      <c r="S16" s="1225">
        <v>3</v>
      </c>
      <c r="T16" s="1222"/>
    </row>
    <row r="17" spans="1:20" x14ac:dyDescent="0.2">
      <c r="A17" s="1914">
        <v>45495</v>
      </c>
      <c r="B17" s="1915" t="s">
        <v>659</v>
      </c>
      <c r="C17" s="331" t="s">
        <v>1135</v>
      </c>
      <c r="D17" s="1219"/>
      <c r="E17" s="1219"/>
      <c r="F17" s="1219"/>
      <c r="G17" s="1219"/>
      <c r="H17" s="1219"/>
      <c r="I17" s="739"/>
      <c r="J17" s="739"/>
      <c r="K17" s="1219"/>
      <c r="L17" s="1220"/>
      <c r="M17" s="1156"/>
      <c r="N17" s="1156"/>
      <c r="O17" s="1221"/>
      <c r="P17" s="1156"/>
      <c r="Q17" s="1221"/>
      <c r="R17" s="1222"/>
      <c r="S17" s="1225">
        <v>3</v>
      </c>
      <c r="T17" s="1222"/>
    </row>
    <row r="18" spans="1:20" x14ac:dyDescent="0.2">
      <c r="A18" s="1916">
        <v>45495</v>
      </c>
      <c r="B18" s="1917" t="s">
        <v>74</v>
      </c>
      <c r="C18" s="330" t="s">
        <v>1136</v>
      </c>
      <c r="D18" s="1219"/>
      <c r="E18" s="1219"/>
      <c r="F18" s="1219"/>
      <c r="G18" s="1219"/>
      <c r="H18" s="1219"/>
      <c r="I18" s="739"/>
      <c r="J18" s="739"/>
      <c r="K18" s="1219"/>
      <c r="L18" s="1220"/>
      <c r="M18" s="1156"/>
      <c r="N18" s="1156"/>
      <c r="O18" s="1221"/>
      <c r="P18" s="1156"/>
      <c r="Q18" s="1221"/>
      <c r="R18" s="1222"/>
      <c r="S18" s="1225">
        <v>6</v>
      </c>
      <c r="T18" s="1222"/>
    </row>
    <row r="19" spans="1:20" x14ac:dyDescent="0.2">
      <c r="A19" s="1914">
        <v>45495</v>
      </c>
      <c r="B19" s="1915" t="s">
        <v>864</v>
      </c>
      <c r="C19" s="331" t="s">
        <v>1136</v>
      </c>
      <c r="D19" s="1219"/>
      <c r="E19" s="1219"/>
      <c r="F19" s="1219"/>
      <c r="G19" s="1219"/>
      <c r="H19" s="1219"/>
      <c r="I19" s="739"/>
      <c r="J19" s="739"/>
      <c r="K19" s="1219"/>
      <c r="L19" s="1220"/>
      <c r="M19" s="1156"/>
      <c r="N19" s="1156"/>
      <c r="O19" s="1221"/>
      <c r="P19" s="1156"/>
      <c r="Q19" s="1221"/>
      <c r="R19" s="1222"/>
      <c r="S19" s="1225">
        <v>6</v>
      </c>
      <c r="T19" s="1222"/>
    </row>
    <row r="20" spans="1:20" x14ac:dyDescent="0.2">
      <c r="A20" s="1916">
        <v>45495</v>
      </c>
      <c r="B20" s="1917" t="s">
        <v>1114</v>
      </c>
      <c r="C20" s="330" t="s">
        <v>1136</v>
      </c>
      <c r="D20" s="1219"/>
      <c r="E20" s="1219"/>
      <c r="F20" s="1219"/>
      <c r="G20" s="1219"/>
      <c r="H20" s="1219"/>
      <c r="I20" s="739"/>
      <c r="J20" s="739"/>
      <c r="K20" s="1219"/>
      <c r="L20" s="1220"/>
      <c r="M20" s="1156"/>
      <c r="N20" s="1156"/>
      <c r="O20" s="1221"/>
      <c r="P20" s="1156"/>
      <c r="Q20" s="1221"/>
      <c r="R20" s="1222"/>
      <c r="S20" s="1225">
        <v>6</v>
      </c>
      <c r="T20" s="1222"/>
    </row>
    <row r="21" spans="1:20" x14ac:dyDescent="0.2">
      <c r="A21" s="1914">
        <v>45495</v>
      </c>
      <c r="B21" s="1915" t="s">
        <v>114</v>
      </c>
      <c r="C21" s="331" t="s">
        <v>1137</v>
      </c>
      <c r="D21" s="1219"/>
      <c r="E21" s="1219"/>
      <c r="F21" s="1219"/>
      <c r="G21" s="1219"/>
      <c r="H21" s="1219"/>
      <c r="I21" s="739"/>
      <c r="J21" s="739"/>
      <c r="K21" s="1219"/>
      <c r="L21" s="1220"/>
      <c r="M21" s="1156"/>
      <c r="N21" s="1156"/>
      <c r="O21" s="1221"/>
      <c r="P21" s="1156"/>
      <c r="Q21" s="1221"/>
      <c r="R21" s="1222"/>
      <c r="S21" s="1225">
        <v>6</v>
      </c>
      <c r="T21" s="1222"/>
    </row>
    <row r="22" spans="1:20" x14ac:dyDescent="0.2">
      <c r="A22" s="1916">
        <v>45495</v>
      </c>
      <c r="B22" s="1917" t="s">
        <v>126</v>
      </c>
      <c r="C22" s="330" t="s">
        <v>1136</v>
      </c>
      <c r="D22" s="1219"/>
      <c r="E22" s="1219"/>
      <c r="F22" s="1219"/>
      <c r="G22" s="1219"/>
      <c r="H22" s="1219"/>
      <c r="I22" s="739"/>
      <c r="J22" s="739"/>
      <c r="K22" s="1219"/>
      <c r="L22" s="1220"/>
      <c r="M22" s="1156"/>
      <c r="N22" s="1156"/>
      <c r="O22" s="1221"/>
      <c r="P22" s="1156"/>
      <c r="Q22" s="1221"/>
      <c r="R22" s="1222"/>
      <c r="S22" s="1225">
        <v>6</v>
      </c>
      <c r="T22" s="1222"/>
    </row>
    <row r="23" spans="1:20" x14ac:dyDescent="0.2">
      <c r="A23" s="1914">
        <v>45495</v>
      </c>
      <c r="B23" s="1915" t="s">
        <v>110</v>
      </c>
      <c r="C23" s="331" t="s">
        <v>1138</v>
      </c>
      <c r="D23" s="1219"/>
      <c r="E23" s="1219"/>
      <c r="F23" s="1219"/>
      <c r="G23" s="1219"/>
      <c r="H23" s="1219"/>
      <c r="I23" s="739"/>
      <c r="J23" s="739"/>
      <c r="K23" s="1219"/>
      <c r="L23" s="1220"/>
      <c r="M23" s="1156"/>
      <c r="N23" s="1156"/>
      <c r="O23" s="1221"/>
      <c r="P23" s="1156"/>
      <c r="Q23" s="1221"/>
      <c r="R23" s="1222"/>
      <c r="S23" s="1225">
        <v>9</v>
      </c>
      <c r="T23" s="1222"/>
    </row>
    <row r="24" spans="1:20" x14ac:dyDescent="0.2">
      <c r="C24" s="1223"/>
      <c r="D24" s="1219"/>
      <c r="E24" s="1219"/>
      <c r="F24" s="1219"/>
      <c r="G24" s="1219"/>
      <c r="H24" s="1219"/>
      <c r="I24" s="739"/>
      <c r="J24" s="739"/>
      <c r="K24" s="1219"/>
      <c r="L24" s="1220"/>
      <c r="M24" s="1156"/>
      <c r="N24" s="1156"/>
      <c r="O24" s="1221"/>
      <c r="P24" s="1156"/>
      <c r="Q24" s="1221"/>
      <c r="R24" s="1222"/>
      <c r="S24" s="1222"/>
      <c r="T24" s="1222"/>
    </row>
    <row r="25" spans="1:20" x14ac:dyDescent="0.2">
      <c r="C25" s="1223"/>
      <c r="D25" s="1219"/>
      <c r="E25" s="1219"/>
      <c r="F25" s="1219"/>
      <c r="G25" s="1219"/>
      <c r="H25" s="1219"/>
      <c r="I25" s="739"/>
      <c r="J25" s="739"/>
      <c r="K25" s="1219"/>
      <c r="L25" s="1220"/>
      <c r="M25" s="1156"/>
      <c r="N25" s="1156"/>
      <c r="O25" s="1221"/>
      <c r="P25" s="1156"/>
      <c r="Q25" s="1221"/>
      <c r="R25" s="1222"/>
      <c r="S25" s="1222"/>
      <c r="T25" s="1222"/>
    </row>
    <row r="26" spans="1:20" x14ac:dyDescent="0.2">
      <c r="C26" s="1223"/>
      <c r="D26" s="1219"/>
      <c r="E26" s="1219"/>
      <c r="F26" s="1219"/>
      <c r="G26" s="1219"/>
      <c r="H26" s="1219"/>
      <c r="I26" s="739"/>
      <c r="J26" s="739"/>
      <c r="K26" s="1219"/>
      <c r="L26" s="1220"/>
      <c r="M26" s="1156"/>
      <c r="N26" s="1156"/>
      <c r="O26" s="1221"/>
      <c r="P26" s="1156"/>
      <c r="Q26" s="1221"/>
      <c r="R26" s="1222"/>
      <c r="S26" s="1222"/>
      <c r="T26" s="1226">
        <v>75</v>
      </c>
    </row>
    <row r="27" spans="1:20" ht="16" thickBot="1" x14ac:dyDescent="0.25">
      <c r="C27" s="1622"/>
      <c r="D27" s="867">
        <f t="shared" ref="D27:T27" si="0">SUM(D6:D26)</f>
        <v>258</v>
      </c>
      <c r="E27" s="867">
        <f t="shared" si="0"/>
        <v>265</v>
      </c>
      <c r="F27" s="867">
        <f t="shared" si="0"/>
        <v>256</v>
      </c>
      <c r="G27" s="867">
        <f t="shared" si="0"/>
        <v>111</v>
      </c>
      <c r="H27" s="867">
        <f t="shared" si="0"/>
        <v>108</v>
      </c>
      <c r="I27" s="867">
        <f t="shared" si="0"/>
        <v>184</v>
      </c>
      <c r="J27" s="867">
        <f t="shared" si="0"/>
        <v>126</v>
      </c>
      <c r="K27" s="867">
        <f t="shared" si="0"/>
        <v>102</v>
      </c>
      <c r="L27" s="867">
        <f t="shared" si="0"/>
        <v>0</v>
      </c>
      <c r="M27" s="867">
        <f t="shared" si="0"/>
        <v>0</v>
      </c>
      <c r="N27" s="867">
        <f t="shared" si="0"/>
        <v>26</v>
      </c>
      <c r="O27" s="867">
        <f t="shared" si="0"/>
        <v>0</v>
      </c>
      <c r="P27" s="867">
        <f t="shared" si="0"/>
        <v>76</v>
      </c>
      <c r="Q27" s="867">
        <f t="shared" si="0"/>
        <v>72</v>
      </c>
      <c r="R27" s="1070">
        <f t="shared" si="0"/>
        <v>66</v>
      </c>
      <c r="S27" s="1070">
        <f t="shared" si="0"/>
        <v>72</v>
      </c>
      <c r="T27" s="868">
        <f t="shared" si="0"/>
        <v>75</v>
      </c>
    </row>
    <row r="28" spans="1:20" ht="16" thickTop="1" x14ac:dyDescent="0.2"/>
  </sheetData>
  <mergeCells count="10">
    <mergeCell ref="F5:N5"/>
    <mergeCell ref="Q4:S4"/>
    <mergeCell ref="C1:T1"/>
    <mergeCell ref="Q6:Q10"/>
    <mergeCell ref="R6:R10"/>
    <mergeCell ref="P6:P10"/>
    <mergeCell ref="O6:O10"/>
    <mergeCell ref="N6:N10"/>
    <mergeCell ref="M6:M10"/>
    <mergeCell ref="C2:T2"/>
  </mergeCells>
  <conditionalFormatting sqref="C1:C2 P4:Q4 C4:C10 D5 P6:T6 C24:C26 C27:T27">
    <cfRule type="cellIs" dxfId="130" priority="16" operator="equal">
      <formula>0</formula>
    </cfRule>
  </conditionalFormatting>
  <conditionalFormatting sqref="D4:N4">
    <cfRule type="cellIs" dxfId="129" priority="10" operator="equal">
      <formula>0</formula>
    </cfRule>
  </conditionalFormatting>
  <conditionalFormatting sqref="L8">
    <cfRule type="cellIs" dxfId="128" priority="6" operator="equal">
      <formula>0</formula>
    </cfRule>
  </conditionalFormatting>
  <conditionalFormatting sqref="M6:N6">
    <cfRule type="cellIs" dxfId="127" priority="4" operator="equal">
      <formula>0</formula>
    </cfRule>
  </conditionalFormatting>
  <conditionalFormatting sqref="O4:O6">
    <cfRule type="cellIs" dxfId="126" priority="9" operator="equal">
      <formula>0</formula>
    </cfRule>
  </conditionalFormatting>
  <conditionalFormatting sqref="P5:S5">
    <cfRule type="cellIs" dxfId="125" priority="1" operator="equal">
      <formula>0</formula>
    </cfRule>
  </conditionalFormatting>
  <conditionalFormatting sqref="T4:T5 D6:J6">
    <cfRule type="cellIs" dxfId="124" priority="18" operator="equal">
      <formula>0</formula>
    </cfRule>
  </conditionalFormatting>
  <hyperlinks>
    <hyperlink ref="C1" location="Summary!A1" display="Summary!A1" xr:uid="{6C41C4B1-E0FA-451C-8956-7B1A6871DDA7}"/>
    <hyperlink ref="T27" location="Summary!T19" display="Summary!T19" xr:uid="{37C44D72-E842-433D-B63E-A153740BCEE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FF00"/>
    <pageSetUpPr fitToPage="1"/>
  </sheetPr>
  <dimension ref="A1:AH19"/>
  <sheetViews>
    <sheetView zoomScaleNormal="100" zoomScaleSheetLayoutView="100" workbookViewId="0">
      <pane xSplit="2" ySplit="4" topLeftCell="W5" activePane="bottomRight" state="frozen"/>
      <selection activeCell="Y257" sqref="Y257"/>
      <selection pane="topRight" activeCell="Y257" sqref="Y257"/>
      <selection pane="bottomLeft" activeCell="Y257" sqref="Y257"/>
      <selection pane="bottomRight" activeCell="Y257" sqref="Y257"/>
    </sheetView>
  </sheetViews>
  <sheetFormatPr baseColWidth="10" defaultColWidth="8.6640625" defaultRowHeight="15" x14ac:dyDescent="0.2"/>
  <cols>
    <col min="1" max="1" width="2.5" style="2" customWidth="1"/>
    <col min="2" max="2" width="11.6640625" style="2" bestFit="1" customWidth="1"/>
    <col min="3" max="3" width="7.83203125" style="1926" hidden="1" customWidth="1"/>
    <col min="4" max="4" width="10.1640625" style="274" hidden="1" customWidth="1"/>
    <col min="5" max="7" width="10.1640625" style="2" hidden="1" customWidth="1"/>
    <col min="8" max="8" width="6.5" style="2" hidden="1" customWidth="1"/>
    <col min="9" max="9" width="8.6640625" style="2" hidden="1" customWidth="1"/>
    <col min="10" max="10" width="6.5" style="2" hidden="1" customWidth="1"/>
    <col min="11" max="11" width="8.6640625" style="2" hidden="1" customWidth="1"/>
    <col min="12" max="12" width="3" style="2" hidden="1" customWidth="1"/>
    <col min="13" max="13" width="8.6640625" style="2" hidden="1" customWidth="1"/>
    <col min="14" max="14" width="3" style="2" hidden="1" customWidth="1"/>
    <col min="15" max="15" width="8.6640625" style="2" hidden="1" customWidth="1"/>
    <col min="16" max="16" width="3" style="2" hidden="1" customWidth="1"/>
    <col min="17" max="17" width="8.6640625" style="2" hidden="1" customWidth="1"/>
    <col min="18" max="18" width="0.83203125" style="2" hidden="1" customWidth="1"/>
    <col min="19" max="19" width="3" style="2" hidden="1" customWidth="1"/>
    <col min="20" max="20" width="8.83203125" style="1927" hidden="1" customWidth="1"/>
    <col min="21" max="21" width="3" style="2" hidden="1" customWidth="1"/>
    <col min="22" max="22" width="8.83203125" style="1927" hidden="1" customWidth="1"/>
    <col min="23" max="23" width="6.33203125" style="1927" bestFit="1" customWidth="1"/>
    <col min="24" max="24" width="3" style="2" bestFit="1" customWidth="1"/>
    <col min="25" max="25" width="8.83203125" style="1927" bestFit="1" customWidth="1"/>
    <col min="26" max="26" width="3" style="2" bestFit="1" customWidth="1"/>
    <col min="27" max="27" width="8.83203125" style="1927" bestFit="1" customWidth="1"/>
    <col min="28" max="28" width="3" style="2" bestFit="1" customWidth="1"/>
    <col min="29" max="29" width="8.83203125" style="1927" bestFit="1" customWidth="1"/>
    <col min="30" max="30" width="8.6640625" style="2"/>
    <col min="31" max="31" width="10.5" style="2" bestFit="1" customWidth="1"/>
    <col min="32" max="32" width="23.1640625" style="2" bestFit="1" customWidth="1"/>
    <col min="33" max="33" width="32.83203125" style="2" bestFit="1" customWidth="1"/>
    <col min="34" max="34" width="8.83203125" style="1926" bestFit="1" customWidth="1"/>
    <col min="35" max="16384" width="8.6640625" style="2"/>
  </cols>
  <sheetData>
    <row r="1" spans="1:34" s="1683" customFormat="1" ht="24" x14ac:dyDescent="0.2">
      <c r="A1" s="1912"/>
      <c r="B1" s="2289" t="s">
        <v>725</v>
      </c>
      <c r="C1" s="2289"/>
      <c r="D1" s="2289"/>
      <c r="E1" s="2289"/>
      <c r="F1" s="2289"/>
      <c r="G1" s="2289"/>
      <c r="H1" s="2289"/>
      <c r="I1" s="2289"/>
      <c r="J1" s="2289"/>
      <c r="K1" s="2289"/>
      <c r="L1" s="2289"/>
      <c r="M1" s="2289"/>
      <c r="N1" s="2289"/>
      <c r="O1" s="2289"/>
      <c r="P1" s="2289"/>
      <c r="Q1" s="2289"/>
      <c r="R1" s="2289"/>
      <c r="S1" s="2289"/>
      <c r="T1" s="2289"/>
      <c r="U1" s="2289"/>
      <c r="V1" s="2289"/>
      <c r="W1" s="2289"/>
      <c r="X1" s="2289"/>
      <c r="Y1" s="2289"/>
      <c r="Z1" s="2289"/>
      <c r="AA1" s="2289"/>
      <c r="AB1" s="2289"/>
      <c r="AC1" s="2289"/>
      <c r="AE1" s="2345">
        <v>2024</v>
      </c>
      <c r="AF1" s="2345"/>
      <c r="AG1" s="2345"/>
      <c r="AH1" s="2345"/>
    </row>
    <row r="2" spans="1:34" x14ac:dyDescent="0.2">
      <c r="B2" s="2366" t="s">
        <v>13</v>
      </c>
      <c r="C2" s="2366"/>
      <c r="D2" s="2366"/>
      <c r="E2" s="2366"/>
      <c r="F2" s="2366"/>
      <c r="G2" s="2366"/>
      <c r="H2" s="2366"/>
      <c r="I2" s="2366"/>
      <c r="J2" s="2366"/>
      <c r="K2" s="2366"/>
      <c r="L2" s="2366"/>
      <c r="M2" s="2366"/>
      <c r="N2" s="2366"/>
      <c r="O2" s="2366"/>
      <c r="P2" s="2366"/>
      <c r="Q2" s="2366"/>
      <c r="R2" s="2366"/>
      <c r="S2" s="2366"/>
      <c r="T2" s="2366"/>
      <c r="U2" s="2366"/>
      <c r="V2" s="2366"/>
      <c r="W2" s="2366"/>
      <c r="X2" s="2366"/>
      <c r="Y2" s="2366"/>
      <c r="Z2" s="2366"/>
      <c r="AA2" s="2366"/>
      <c r="AB2" s="2366"/>
      <c r="AC2" s="2366"/>
      <c r="AE2" s="1918">
        <v>45433</v>
      </c>
      <c r="AF2" s="1919" t="s">
        <v>1139</v>
      </c>
      <c r="AG2" s="1919" t="s">
        <v>1140</v>
      </c>
      <c r="AH2" s="1920">
        <v>-207</v>
      </c>
    </row>
    <row r="3" spans="1:34" x14ac:dyDescent="0.2">
      <c r="B3" s="1499"/>
      <c r="C3" s="1500" t="s">
        <v>547</v>
      </c>
      <c r="D3" s="2342">
        <v>2014</v>
      </c>
      <c r="E3" s="2342"/>
      <c r="F3" s="2342">
        <v>2015</v>
      </c>
      <c r="G3" s="2342"/>
      <c r="H3" s="2342">
        <v>2016</v>
      </c>
      <c r="I3" s="2342"/>
      <c r="J3" s="2342">
        <v>2017</v>
      </c>
      <c r="K3" s="2342"/>
      <c r="L3" s="2342">
        <v>2017</v>
      </c>
      <c r="M3" s="2342"/>
      <c r="N3" s="2343">
        <v>2018</v>
      </c>
      <c r="O3" s="2344"/>
      <c r="P3" s="2342">
        <v>2019</v>
      </c>
      <c r="Q3" s="2342"/>
      <c r="R3" s="1068"/>
      <c r="S3" s="2342">
        <v>2020</v>
      </c>
      <c r="T3" s="2342"/>
      <c r="U3" s="2342">
        <v>2021</v>
      </c>
      <c r="V3" s="2343"/>
      <c r="W3" s="2294" t="s">
        <v>481</v>
      </c>
      <c r="X3" s="2295"/>
      <c r="Y3" s="2295"/>
      <c r="Z3" s="2295"/>
      <c r="AA3" s="2296"/>
      <c r="AB3" s="2365" t="s">
        <v>519</v>
      </c>
      <c r="AC3" s="2365"/>
      <c r="AE3" s="1921">
        <v>45434</v>
      </c>
      <c r="AF3" s="1922" t="s">
        <v>100</v>
      </c>
      <c r="AG3" s="1922" t="s">
        <v>1141</v>
      </c>
      <c r="AH3" s="1923">
        <v>-113.55</v>
      </c>
    </row>
    <row r="4" spans="1:34" ht="15.5" customHeight="1" x14ac:dyDescent="0.2">
      <c r="B4" s="1326"/>
      <c r="C4" s="1327"/>
      <c r="D4" s="297"/>
      <c r="E4" s="297"/>
      <c r="F4" s="297"/>
      <c r="G4" s="297"/>
      <c r="H4" s="2363" t="s">
        <v>520</v>
      </c>
      <c r="I4" s="2364"/>
      <c r="J4" s="2364"/>
      <c r="K4" s="2364"/>
      <c r="L4" s="2364"/>
      <c r="M4" s="2364"/>
      <c r="N4" s="2364"/>
      <c r="O4" s="2364"/>
      <c r="P4" s="2364"/>
      <c r="Q4" s="2364"/>
      <c r="R4" s="2364"/>
      <c r="S4" s="2364"/>
      <c r="T4" s="2364"/>
      <c r="U4" s="2364"/>
      <c r="V4" s="2364"/>
      <c r="W4" s="1624">
        <v>2022</v>
      </c>
      <c r="X4" s="2358">
        <v>2023</v>
      </c>
      <c r="Y4" s="2359"/>
      <c r="Z4" s="2358">
        <v>2024</v>
      </c>
      <c r="AA4" s="2359"/>
      <c r="AB4" s="2358">
        <v>2025</v>
      </c>
      <c r="AC4" s="2359"/>
      <c r="AE4" s="1918">
        <v>45433</v>
      </c>
      <c r="AF4" s="1919" t="s">
        <v>117</v>
      </c>
      <c r="AG4" s="1919" t="s">
        <v>1142</v>
      </c>
      <c r="AH4" s="1920">
        <v>-51.87</v>
      </c>
    </row>
    <row r="5" spans="1:34" ht="15.5" customHeight="1" x14ac:dyDescent="0.2">
      <c r="B5" s="1328" t="s">
        <v>384</v>
      </c>
      <c r="C5" s="21">
        <v>15</v>
      </c>
      <c r="D5" s="69">
        <v>9</v>
      </c>
      <c r="E5" s="1328">
        <f>+D5*15</f>
        <v>135</v>
      </c>
      <c r="F5" s="69">
        <v>9</v>
      </c>
      <c r="G5" s="1328">
        <f>+F5*15</f>
        <v>135</v>
      </c>
      <c r="H5" s="101">
        <v>10</v>
      </c>
      <c r="I5" s="1329">
        <f>+H5*15</f>
        <v>150</v>
      </c>
      <c r="J5" s="69">
        <v>10</v>
      </c>
      <c r="K5" s="1328">
        <f>+J5*15</f>
        <v>150</v>
      </c>
      <c r="L5" s="69">
        <v>9</v>
      </c>
      <c r="M5" s="1329">
        <v>135</v>
      </c>
      <c r="N5" s="69">
        <v>8</v>
      </c>
      <c r="O5" s="1329">
        <f>+N5*C5</f>
        <v>120</v>
      </c>
      <c r="P5" s="69">
        <v>7</v>
      </c>
      <c r="Q5" s="1329">
        <f>+P5*$C5</f>
        <v>105</v>
      </c>
      <c r="R5" s="1330"/>
      <c r="S5" s="2346" t="s">
        <v>871</v>
      </c>
      <c r="T5" s="2347"/>
      <c r="U5" s="2346" t="s">
        <v>871</v>
      </c>
      <c r="V5" s="2347"/>
      <c r="W5" s="2352">
        <v>844</v>
      </c>
      <c r="X5" s="1629" t="s">
        <v>1453</v>
      </c>
      <c r="Y5" s="2355">
        <v>1022</v>
      </c>
      <c r="Z5" s="1488"/>
      <c r="AA5" s="2360">
        <v>893</v>
      </c>
      <c r="AB5" s="1489"/>
      <c r="AC5" s="1490"/>
      <c r="AE5" s="1921">
        <v>45292</v>
      </c>
      <c r="AF5" s="1922"/>
      <c r="AG5" s="1922"/>
      <c r="AH5" s="1923">
        <v>0</v>
      </c>
    </row>
    <row r="6" spans="1:34" ht="16" x14ac:dyDescent="0.2">
      <c r="B6" s="1328" t="s">
        <v>385</v>
      </c>
      <c r="C6" s="21">
        <v>15</v>
      </c>
      <c r="D6" s="69">
        <v>12</v>
      </c>
      <c r="E6" s="1328">
        <f>+D6*15</f>
        <v>180</v>
      </c>
      <c r="F6" s="69">
        <v>15</v>
      </c>
      <c r="G6" s="1328">
        <f>+F6*15</f>
        <v>225</v>
      </c>
      <c r="H6" s="101">
        <v>16</v>
      </c>
      <c r="I6" s="1329">
        <f>+H6*15</f>
        <v>240</v>
      </c>
      <c r="J6" s="69">
        <v>16</v>
      </c>
      <c r="K6" s="1328">
        <f>+J6*15</f>
        <v>240</v>
      </c>
      <c r="L6" s="69">
        <v>15</v>
      </c>
      <c r="M6" s="1329">
        <v>225</v>
      </c>
      <c r="N6" s="69">
        <v>14</v>
      </c>
      <c r="O6" s="1329">
        <f>+N6*C6</f>
        <v>210</v>
      </c>
      <c r="P6" s="69">
        <v>11</v>
      </c>
      <c r="Q6" s="1329">
        <f>+P6*$C6</f>
        <v>165</v>
      </c>
      <c r="R6" s="1330"/>
      <c r="S6" s="2348"/>
      <c r="T6" s="2349"/>
      <c r="U6" s="2348"/>
      <c r="V6" s="2349"/>
      <c r="W6" s="2353"/>
      <c r="X6" s="1630" t="s">
        <v>1453</v>
      </c>
      <c r="Y6" s="2356"/>
      <c r="Z6" s="1488"/>
      <c r="AA6" s="2361"/>
      <c r="AB6" s="1489"/>
      <c r="AC6" s="1490"/>
      <c r="AE6" s="1918">
        <v>45443</v>
      </c>
      <c r="AF6" s="1919" t="s">
        <v>1097</v>
      </c>
      <c r="AG6" s="1919" t="s">
        <v>1143</v>
      </c>
      <c r="AH6" s="1920">
        <v>3</v>
      </c>
    </row>
    <row r="7" spans="1:34" ht="16" x14ac:dyDescent="0.2">
      <c r="B7" s="99" t="s">
        <v>386</v>
      </c>
      <c r="C7" s="21">
        <v>6</v>
      </c>
      <c r="D7" s="100">
        <v>41</v>
      </c>
      <c r="E7" s="1328">
        <v>249</v>
      </c>
      <c r="F7" s="52">
        <v>49</v>
      </c>
      <c r="G7" s="1328">
        <f>+F7*6</f>
        <v>294</v>
      </c>
      <c r="H7" s="9">
        <v>68</v>
      </c>
      <c r="I7" s="1329">
        <v>408</v>
      </c>
      <c r="J7" s="73">
        <v>68</v>
      </c>
      <c r="K7" s="1329">
        <v>408</v>
      </c>
      <c r="L7" s="73">
        <v>55</v>
      </c>
      <c r="M7" s="1329">
        <v>327</v>
      </c>
      <c r="N7" s="73">
        <v>58</v>
      </c>
      <c r="O7" s="1329">
        <f>+N7*C7</f>
        <v>348</v>
      </c>
      <c r="P7" s="73">
        <v>58</v>
      </c>
      <c r="Q7" s="1329">
        <f>+P7*C7</f>
        <v>348</v>
      </c>
      <c r="R7" s="1330"/>
      <c r="S7" s="2348"/>
      <c r="T7" s="2349"/>
      <c r="U7" s="2348"/>
      <c r="V7" s="2349"/>
      <c r="W7" s="2354"/>
      <c r="X7" s="1630" t="s">
        <v>1453</v>
      </c>
      <c r="Y7" s="2356"/>
      <c r="Z7" s="1488"/>
      <c r="AA7" s="2362"/>
      <c r="AB7" s="1489"/>
      <c r="AC7" s="1490"/>
      <c r="AE7" s="1921">
        <v>45443</v>
      </c>
      <c r="AF7" s="1922" t="s">
        <v>135</v>
      </c>
      <c r="AG7" s="1922" t="s">
        <v>1143</v>
      </c>
      <c r="AH7" s="1923">
        <v>3</v>
      </c>
    </row>
    <row r="8" spans="1:34" ht="16" x14ac:dyDescent="0.2">
      <c r="B8" s="1328" t="s">
        <v>166</v>
      </c>
      <c r="C8" s="21"/>
      <c r="D8" s="52"/>
      <c r="E8" s="1328">
        <v>200</v>
      </c>
      <c r="F8" s="1328"/>
      <c r="G8" s="1328">
        <v>200</v>
      </c>
      <c r="H8" s="1331"/>
      <c r="I8" s="1332">
        <v>207.74</v>
      </c>
      <c r="J8" s="1331"/>
      <c r="K8" s="1332">
        <v>200</v>
      </c>
      <c r="L8" s="1331"/>
      <c r="M8" s="1332">
        <v>235</v>
      </c>
      <c r="N8" s="1331"/>
      <c r="O8" s="1332">
        <v>200</v>
      </c>
      <c r="P8" s="1331"/>
      <c r="Q8" s="1332">
        <v>200</v>
      </c>
      <c r="R8" s="1333"/>
      <c r="S8" s="2348"/>
      <c r="T8" s="2349"/>
      <c r="U8" s="2348"/>
      <c r="V8" s="2349"/>
      <c r="W8" s="1491">
        <v>200</v>
      </c>
      <c r="X8" s="1630" t="s">
        <v>1453</v>
      </c>
      <c r="Y8" s="2356"/>
      <c r="Z8" s="1488"/>
      <c r="AA8" s="1490">
        <v>200</v>
      </c>
      <c r="AB8" s="1489"/>
      <c r="AC8" s="1631"/>
      <c r="AE8" s="1918">
        <v>45433</v>
      </c>
      <c r="AF8" s="1919" t="s">
        <v>134</v>
      </c>
      <c r="AG8" s="1919" t="s">
        <v>1144</v>
      </c>
      <c r="AH8" s="1920">
        <v>3</v>
      </c>
    </row>
    <row r="9" spans="1:34" ht="16" x14ac:dyDescent="0.2">
      <c r="B9" s="1328" t="s">
        <v>167</v>
      </c>
      <c r="C9" s="21"/>
      <c r="D9" s="52"/>
      <c r="E9" s="1328">
        <v>-200</v>
      </c>
      <c r="F9" s="1328"/>
      <c r="G9" s="1328">
        <v>-200</v>
      </c>
      <c r="H9" s="1331"/>
      <c r="I9" s="1332">
        <v>-200</v>
      </c>
      <c r="J9" s="1331"/>
      <c r="K9" s="1332">
        <v>-200</v>
      </c>
      <c r="L9" s="1331"/>
      <c r="M9" s="1332">
        <v>-200</v>
      </c>
      <c r="N9" s="1331"/>
      <c r="O9" s="1332">
        <v>-200</v>
      </c>
      <c r="P9" s="1331"/>
      <c r="Q9" s="1332">
        <v>-200</v>
      </c>
      <c r="R9" s="1333"/>
      <c r="S9" s="2348"/>
      <c r="T9" s="2349"/>
      <c r="U9" s="2348"/>
      <c r="V9" s="2349"/>
      <c r="W9" s="1492">
        <v>-200</v>
      </c>
      <c r="X9" s="1630" t="s">
        <v>1453</v>
      </c>
      <c r="Y9" s="2356"/>
      <c r="Z9" s="1488"/>
      <c r="AA9" s="1493">
        <v>-207</v>
      </c>
      <c r="AB9" s="1489"/>
      <c r="AC9" s="1631"/>
      <c r="AE9" s="1921">
        <v>45433</v>
      </c>
      <c r="AF9" s="1922" t="s">
        <v>125</v>
      </c>
      <c r="AG9" s="1922" t="s">
        <v>1144</v>
      </c>
      <c r="AH9" s="1923">
        <v>3</v>
      </c>
    </row>
    <row r="10" spans="1:34" ht="16" x14ac:dyDescent="0.2">
      <c r="B10" s="1328" t="s">
        <v>195</v>
      </c>
      <c r="C10" s="21"/>
      <c r="D10" s="52"/>
      <c r="E10" s="1328">
        <v>113</v>
      </c>
      <c r="F10" s="1328"/>
      <c r="G10" s="1328">
        <v>141</v>
      </c>
      <c r="H10" s="1331"/>
      <c r="I10" s="1332">
        <v>204</v>
      </c>
      <c r="J10" s="1331"/>
      <c r="K10" s="1332">
        <v>200</v>
      </c>
      <c r="L10" s="1331"/>
      <c r="M10" s="1332">
        <v>124</v>
      </c>
      <c r="N10" s="1331"/>
      <c r="O10" s="1332">
        <v>126</v>
      </c>
      <c r="P10" s="1331"/>
      <c r="Q10" s="1332">
        <v>168</v>
      </c>
      <c r="R10" s="1333"/>
      <c r="S10" s="2348"/>
      <c r="T10" s="2349"/>
      <c r="U10" s="2348"/>
      <c r="V10" s="2349"/>
      <c r="W10" s="1491">
        <v>137</v>
      </c>
      <c r="X10" s="1630" t="s">
        <v>1453</v>
      </c>
      <c r="Y10" s="2356"/>
      <c r="Z10" s="1488"/>
      <c r="AA10" s="1490">
        <v>159</v>
      </c>
      <c r="AB10" s="1489"/>
      <c r="AC10" s="1631"/>
      <c r="AE10" s="1921"/>
      <c r="AF10" s="1922"/>
      <c r="AG10" s="1922"/>
      <c r="AH10" s="1923"/>
    </row>
    <row r="11" spans="1:34" ht="16" x14ac:dyDescent="0.2">
      <c r="B11" s="1328" t="s">
        <v>383</v>
      </c>
      <c r="C11" s="21"/>
      <c r="D11" s="52"/>
      <c r="E11" s="1328">
        <v>146</v>
      </c>
      <c r="F11" s="1328"/>
      <c r="G11" s="1328">
        <v>171.6</v>
      </c>
      <c r="H11" s="1331"/>
      <c r="I11" s="1332">
        <v>96</v>
      </c>
      <c r="J11" s="1334"/>
      <c r="K11" s="1332">
        <v>100</v>
      </c>
      <c r="L11" s="1334"/>
      <c r="M11" s="1332">
        <v>128</v>
      </c>
      <c r="N11" s="1334"/>
      <c r="O11" s="1332">
        <v>95</v>
      </c>
      <c r="P11" s="1334"/>
      <c r="Q11" s="1332">
        <v>85.5</v>
      </c>
      <c r="R11" s="1333"/>
      <c r="S11" s="2348"/>
      <c r="T11" s="2349"/>
      <c r="U11" s="2348"/>
      <c r="V11" s="2349"/>
      <c r="W11" s="1491"/>
      <c r="X11" s="1630" t="s">
        <v>1453</v>
      </c>
      <c r="Y11" s="2356"/>
      <c r="Z11" s="1494"/>
      <c r="AA11" s="1490"/>
      <c r="AB11" s="1495"/>
      <c r="AC11" s="1631"/>
      <c r="AE11" s="1918">
        <v>45433</v>
      </c>
      <c r="AF11" s="1919" t="s">
        <v>101</v>
      </c>
      <c r="AG11" s="1919" t="s">
        <v>1145</v>
      </c>
      <c r="AH11" s="1920">
        <v>6</v>
      </c>
    </row>
    <row r="12" spans="1:34" ht="16" x14ac:dyDescent="0.2">
      <c r="B12" s="1328" t="s">
        <v>168</v>
      </c>
      <c r="C12" s="21"/>
      <c r="D12" s="52"/>
      <c r="E12" s="1328">
        <v>-131</v>
      </c>
      <c r="F12" s="1328"/>
      <c r="G12" s="1328">
        <v>-137.63</v>
      </c>
      <c r="H12" s="1331"/>
      <c r="I12" s="1332">
        <v>-183.48</v>
      </c>
      <c r="J12" s="1331"/>
      <c r="K12" s="1332">
        <v>-200</v>
      </c>
      <c r="L12" s="1331"/>
      <c r="M12" s="1332">
        <v>-171.68</v>
      </c>
      <c r="N12" s="1331"/>
      <c r="O12" s="1332">
        <v>-137.16</v>
      </c>
      <c r="P12" s="1331"/>
      <c r="Q12" s="1332">
        <v>-140.25</v>
      </c>
      <c r="R12" s="1333"/>
      <c r="S12" s="2348"/>
      <c r="T12" s="2349"/>
      <c r="U12" s="2348"/>
      <c r="V12" s="2349"/>
      <c r="W12" s="1492">
        <f>-183.14+1.4</f>
        <v>-181.73999999999998</v>
      </c>
      <c r="X12" s="1630" t="s">
        <v>1453</v>
      </c>
      <c r="Y12" s="2356"/>
      <c r="Z12" s="1494"/>
      <c r="AA12" s="1496">
        <v>-165.42</v>
      </c>
      <c r="AB12" s="1495"/>
      <c r="AC12" s="1631"/>
      <c r="AE12" s="1921">
        <v>45433</v>
      </c>
      <c r="AF12" s="1922" t="s">
        <v>117</v>
      </c>
      <c r="AG12" s="1922" t="s">
        <v>1146</v>
      </c>
      <c r="AH12" s="1923">
        <v>11</v>
      </c>
    </row>
    <row r="13" spans="1:34" ht="16" x14ac:dyDescent="0.2">
      <c r="B13" s="1335" t="s">
        <v>382</v>
      </c>
      <c r="C13" s="292"/>
      <c r="D13" s="427"/>
      <c r="E13" s="1335">
        <v>25</v>
      </c>
      <c r="F13" s="1335"/>
      <c r="G13" s="1335"/>
      <c r="H13" s="1336"/>
      <c r="I13" s="1337"/>
      <c r="J13" s="1331"/>
      <c r="K13" s="1332"/>
      <c r="L13" s="1331"/>
      <c r="M13" s="1332"/>
      <c r="N13" s="1331"/>
      <c r="O13" s="1332"/>
      <c r="P13" s="1331"/>
      <c r="Q13" s="1332"/>
      <c r="R13" s="1333"/>
      <c r="S13" s="2348"/>
      <c r="T13" s="2349"/>
      <c r="U13" s="2348"/>
      <c r="V13" s="2349"/>
      <c r="W13" s="1625"/>
      <c r="X13" s="1630" t="s">
        <v>1453</v>
      </c>
      <c r="Y13" s="2356"/>
      <c r="Z13" s="1494"/>
      <c r="AA13" s="1496"/>
      <c r="AB13" s="1495"/>
      <c r="AC13" s="1631"/>
      <c r="AE13" s="1918">
        <v>45433</v>
      </c>
      <c r="AF13" s="1919" t="s">
        <v>154</v>
      </c>
      <c r="AG13" s="1919" t="s">
        <v>1147</v>
      </c>
      <c r="AH13" s="1920">
        <v>16</v>
      </c>
    </row>
    <row r="14" spans="1:34" ht="16" x14ac:dyDescent="0.2">
      <c r="B14" s="1335"/>
      <c r="C14" s="292"/>
      <c r="D14" s="427"/>
      <c r="E14" s="1335"/>
      <c r="F14" s="1335"/>
      <c r="G14" s="1335"/>
      <c r="H14" s="1338"/>
      <c r="I14" s="1337"/>
      <c r="J14" s="1334"/>
      <c r="K14" s="1332"/>
      <c r="L14" s="1334"/>
      <c r="M14" s="1332"/>
      <c r="N14" s="1334"/>
      <c r="O14" s="1332"/>
      <c r="P14" s="1334"/>
      <c r="Q14" s="1332"/>
      <c r="R14" s="1333"/>
      <c r="S14" s="2350"/>
      <c r="T14" s="2351"/>
      <c r="U14" s="2350"/>
      <c r="V14" s="2351"/>
      <c r="W14" s="1626"/>
      <c r="X14" s="1630" t="s">
        <v>1453</v>
      </c>
      <c r="Y14" s="2357"/>
      <c r="Z14" s="1494"/>
      <c r="AA14" s="1490"/>
      <c r="AB14" s="1495"/>
      <c r="AC14" s="1632">
        <v>900</v>
      </c>
      <c r="AE14" s="1921">
        <v>45433</v>
      </c>
      <c r="AF14" s="1922" t="s">
        <v>1139</v>
      </c>
      <c r="AG14" s="1922" t="s">
        <v>1148</v>
      </c>
      <c r="AH14" s="1923">
        <v>88</v>
      </c>
    </row>
    <row r="15" spans="1:34" ht="16" thickBot="1" x14ac:dyDescent="0.25">
      <c r="B15" s="24"/>
      <c r="C15" s="806">
        <f t="shared" ref="C15:O15" si="0">SUM(C5:C14)</f>
        <v>36</v>
      </c>
      <c r="D15" s="806">
        <f t="shared" si="0"/>
        <v>62</v>
      </c>
      <c r="E15" s="806">
        <f t="shared" si="0"/>
        <v>717</v>
      </c>
      <c r="F15" s="806">
        <f t="shared" si="0"/>
        <v>73</v>
      </c>
      <c r="G15" s="806">
        <f t="shared" si="0"/>
        <v>828.97</v>
      </c>
      <c r="H15" s="806">
        <f t="shared" si="0"/>
        <v>94</v>
      </c>
      <c r="I15" s="806">
        <f t="shared" si="0"/>
        <v>922.26</v>
      </c>
      <c r="J15" s="806">
        <f t="shared" si="0"/>
        <v>94</v>
      </c>
      <c r="K15" s="806">
        <f t="shared" si="0"/>
        <v>898</v>
      </c>
      <c r="L15" s="806"/>
      <c r="M15" s="806">
        <f t="shared" si="0"/>
        <v>802.31999999999994</v>
      </c>
      <c r="N15" s="806"/>
      <c r="O15" s="806">
        <f t="shared" si="0"/>
        <v>761.84</v>
      </c>
      <c r="P15" s="806"/>
      <c r="Q15" s="806">
        <f>SUM(Q5:Q14)</f>
        <v>731.25</v>
      </c>
      <c r="R15" s="807"/>
      <c r="S15" s="1339"/>
      <c r="T15" s="806">
        <f>SUM(T5:T12)</f>
        <v>0</v>
      </c>
      <c r="U15" s="1339"/>
      <c r="V15" s="1623">
        <f>SUM(V5:V12)</f>
        <v>0</v>
      </c>
      <c r="W15" s="1497">
        <f>SUM(W5:W14)</f>
        <v>799.26</v>
      </c>
      <c r="X15" s="1627"/>
      <c r="Y15" s="1628">
        <f>SUM(Y5:Y14)</f>
        <v>1022</v>
      </c>
      <c r="Z15" s="1498"/>
      <c r="AA15" s="464">
        <f>SUM(AA5:AA14)</f>
        <v>879.58</v>
      </c>
      <c r="AB15" s="1498"/>
      <c r="AC15" s="1633">
        <f>SUM(AC5:AC14)</f>
        <v>900</v>
      </c>
      <c r="AE15" s="1918">
        <v>45433</v>
      </c>
      <c r="AF15" s="1919" t="s">
        <v>1139</v>
      </c>
      <c r="AG15" s="1919" t="s">
        <v>1149</v>
      </c>
      <c r="AH15" s="1920">
        <v>159</v>
      </c>
    </row>
    <row r="16" spans="1:34" ht="16" thickTop="1" x14ac:dyDescent="0.2">
      <c r="AC16" s="2"/>
      <c r="AE16" s="1921">
        <v>45336</v>
      </c>
      <c r="AF16" s="1922" t="s">
        <v>1150</v>
      </c>
      <c r="AG16" s="1922" t="s">
        <v>1151</v>
      </c>
      <c r="AH16" s="1923">
        <v>200</v>
      </c>
    </row>
    <row r="17" spans="29:34" x14ac:dyDescent="0.2">
      <c r="AC17" s="2"/>
      <c r="AE17" s="1918">
        <v>45433</v>
      </c>
      <c r="AF17" s="1919" t="s">
        <v>1139</v>
      </c>
      <c r="AG17" s="1919" t="s">
        <v>1152</v>
      </c>
      <c r="AH17" s="1920">
        <v>760</v>
      </c>
    </row>
    <row r="18" spans="29:34" ht="16" thickBot="1" x14ac:dyDescent="0.25">
      <c r="AC18" s="2"/>
      <c r="AE18" s="1924"/>
      <c r="AF18" s="1924"/>
      <c r="AG18" s="1924"/>
      <c r="AH18" s="1925">
        <f>SUM(AH2:AH17)</f>
        <v>879.57999999999993</v>
      </c>
    </row>
    <row r="19" spans="29:34" ht="16" thickTop="1" x14ac:dyDescent="0.2"/>
  </sheetData>
  <mergeCells count="23">
    <mergeCell ref="AE1:AH1"/>
    <mergeCell ref="S5:T14"/>
    <mergeCell ref="U5:V14"/>
    <mergeCell ref="P3:Q3"/>
    <mergeCell ref="W5:W7"/>
    <mergeCell ref="Y5:Y14"/>
    <mergeCell ref="Z4:AA4"/>
    <mergeCell ref="AA5:AA7"/>
    <mergeCell ref="H4:V4"/>
    <mergeCell ref="AB3:AC3"/>
    <mergeCell ref="AB4:AC4"/>
    <mergeCell ref="W3:AA3"/>
    <mergeCell ref="X4:Y4"/>
    <mergeCell ref="B2:AC2"/>
    <mergeCell ref="B1:AC1"/>
    <mergeCell ref="L3:M3"/>
    <mergeCell ref="S3:T3"/>
    <mergeCell ref="U3:V3"/>
    <mergeCell ref="D3:E3"/>
    <mergeCell ref="F3:G3"/>
    <mergeCell ref="H3:I3"/>
    <mergeCell ref="J3:K3"/>
    <mergeCell ref="N3:O3"/>
  </mergeCells>
  <phoneticPr fontId="52" type="noConversion"/>
  <conditionalFormatting sqref="A1:B1">
    <cfRule type="cellIs" dxfId="123" priority="9" operator="equal">
      <formula>0</formula>
    </cfRule>
  </conditionalFormatting>
  <conditionalFormatting sqref="C5:R14 C15:AC15">
    <cfRule type="cellIs" dxfId="122" priority="4" operator="lessThan">
      <formula>0</formula>
    </cfRule>
  </conditionalFormatting>
  <conditionalFormatting sqref="S5 U5">
    <cfRule type="cellIs" dxfId="121" priority="3" operator="lessThan">
      <formula>0</formula>
    </cfRule>
  </conditionalFormatting>
  <hyperlinks>
    <hyperlink ref="B1" location="Summary!A1" display="Summary!A1" xr:uid="{2F9B9DEC-FC08-4113-AEE8-277A331CFD53}"/>
    <hyperlink ref="AC15" location="Summary!T20" display="Summary!T20" xr:uid="{225B35F7-BEEB-449B-AD93-4380C50D57CD}"/>
  </hyperlinks>
  <printOptions horizontalCentered="1"/>
  <pageMargins left="0.70866141732283472" right="0"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FF00"/>
    <pageSetUpPr fitToPage="1"/>
  </sheetPr>
  <dimension ref="A1:CU80"/>
  <sheetViews>
    <sheetView zoomScaleNormal="100" zoomScaleSheetLayoutView="100" workbookViewId="0">
      <pane ySplit="4" topLeftCell="A64" activePane="bottomLeft" state="frozen"/>
      <selection activeCell="Y257" sqref="Y257"/>
      <selection pane="bottomLeft" activeCell="Y257" sqref="Y257"/>
    </sheetView>
  </sheetViews>
  <sheetFormatPr baseColWidth="10" defaultColWidth="9.1640625" defaultRowHeight="15" x14ac:dyDescent="0.2"/>
  <cols>
    <col min="1" max="1" width="4" style="1972" customWidth="1"/>
    <col min="2" max="2" width="20.5" style="2" hidden="1" customWidth="1"/>
    <col min="3" max="3" width="49.33203125" style="1973" hidden="1" customWidth="1"/>
    <col min="4" max="4" width="8" style="109" hidden="1" customWidth="1"/>
    <col min="5" max="5" width="5" style="1974" hidden="1" customWidth="1"/>
    <col min="6" max="6" width="6.5" style="1975" hidden="1" customWidth="1"/>
    <col min="7" max="7" width="5" style="1974" hidden="1" customWidth="1"/>
    <col min="8" max="8" width="6.5" style="1975" hidden="1" customWidth="1"/>
    <col min="9" max="9" width="5" style="274" hidden="1" customWidth="1"/>
    <col min="10" max="10" width="8.83203125" style="274" hidden="1" customWidth="1"/>
    <col min="11" max="11" width="7.83203125" style="274" hidden="1" customWidth="1"/>
    <col min="12" max="13" width="8.83203125" style="1971" hidden="1" customWidth="1"/>
    <col min="14" max="14" width="6.5" style="1976" hidden="1" customWidth="1"/>
    <col min="15" max="15" width="13.33203125" style="1971" hidden="1" customWidth="1"/>
    <col min="16" max="16" width="7.5" style="1971" hidden="1" customWidth="1"/>
    <col min="17" max="17" width="10.83203125" style="274" hidden="1" customWidth="1"/>
    <col min="18" max="18" width="31.5" style="274" hidden="1" customWidth="1"/>
    <col min="19" max="19" width="1" style="274" hidden="1" customWidth="1"/>
    <col min="20" max="20" width="4" style="274" hidden="1" customWidth="1"/>
    <col min="21" max="21" width="24.6640625" style="274" hidden="1" customWidth="1"/>
    <col min="22" max="22" width="4.83203125" style="274" hidden="1" customWidth="1"/>
    <col min="23" max="23" width="8.83203125" style="1927" hidden="1" customWidth="1"/>
    <col min="24" max="24" width="3" style="274" hidden="1" customWidth="1"/>
    <col min="25" max="25" width="8.83203125" style="274" hidden="1" customWidth="1"/>
    <col min="26" max="26" width="7.83203125" style="1977" hidden="1" customWidth="1"/>
    <col min="27" max="27" width="4" style="1971" hidden="1" customWidth="1"/>
    <col min="28" max="28" width="7.6640625" style="1978" hidden="1" customWidth="1"/>
    <col min="29" max="29" width="37.6640625" style="1979" hidden="1" customWidth="1"/>
    <col min="30" max="30" width="8.6640625" style="1980" hidden="1" customWidth="1"/>
    <col min="31" max="31" width="7.83203125" style="1981" hidden="1" customWidth="1"/>
    <col min="32" max="32" width="3" style="2" hidden="1" customWidth="1"/>
    <col min="33" max="33" width="6.33203125" style="2" hidden="1" customWidth="1"/>
    <col min="34" max="34" width="52.6640625" style="2" hidden="1" customWidth="1"/>
    <col min="35" max="35" width="8.6640625" style="2" hidden="1" customWidth="1"/>
    <col min="36" max="37" width="7.5" style="2" hidden="1" customWidth="1"/>
    <col min="38" max="38" width="9" style="2" hidden="1" customWidth="1"/>
    <col min="39" max="39" width="31.83203125" style="2" hidden="1" customWidth="1"/>
    <col min="40" max="40" width="3" style="2" hidden="1" customWidth="1"/>
    <col min="41" max="41" width="48.83203125" style="1973" hidden="1" customWidth="1"/>
    <col min="42" max="42" width="8" style="109" hidden="1" customWidth="1"/>
    <col min="43" max="43" width="3" style="274" hidden="1" customWidth="1"/>
    <col min="44" max="44" width="10.5" style="1978" hidden="1" customWidth="1"/>
    <col min="45" max="45" width="8.6640625" style="1980" hidden="1" customWidth="1"/>
    <col min="46" max="46" width="10.5" style="1982" hidden="1" customWidth="1"/>
    <col min="47" max="47" width="11.83203125" style="1983" hidden="1" customWidth="1"/>
    <col min="48" max="48" width="13" style="1971" hidden="1" customWidth="1"/>
    <col min="49" max="49" width="3.1640625" style="1984" hidden="1" customWidth="1"/>
    <col min="50" max="50" width="9.33203125" style="1979" hidden="1" customWidth="1"/>
    <col min="51" max="51" width="7.33203125" style="1979" hidden="1" customWidth="1"/>
    <col min="52" max="52" width="10.1640625" style="1985" hidden="1" customWidth="1"/>
    <col min="53" max="53" width="12.83203125" style="1983" hidden="1" customWidth="1"/>
    <col min="54" max="54" width="9.1640625" style="2" hidden="1" customWidth="1"/>
    <col min="55" max="55" width="6.5" style="1928" hidden="1" customWidth="1"/>
    <col min="56" max="56" width="8.5" style="1986" customWidth="1"/>
    <col min="57" max="57" width="10.1640625" style="1987" customWidth="1"/>
    <col min="58" max="58" width="26.33203125" style="1988" customWidth="1"/>
    <col min="59" max="59" width="8.83203125" style="1989" hidden="1" customWidth="1"/>
    <col min="60" max="60" width="10.33203125" style="1989" hidden="1" customWidth="1"/>
    <col min="61" max="61" width="7.1640625" style="1990" hidden="1" customWidth="1"/>
    <col min="62" max="62" width="7.6640625" style="1991" hidden="1" customWidth="1"/>
    <col min="63" max="63" width="9.83203125" style="1991" hidden="1" customWidth="1"/>
    <col min="64" max="64" width="8.33203125" style="1987" hidden="1" customWidth="1"/>
    <col min="65" max="65" width="9.83203125" style="1992" hidden="1" customWidth="1"/>
    <col min="66" max="66" width="9.1640625" style="1992" hidden="1" customWidth="1"/>
    <col min="67" max="67" width="7.83203125" style="1993" hidden="1" customWidth="1"/>
    <col min="68" max="68" width="6.33203125" style="1990" hidden="1" customWidth="1"/>
    <col min="69" max="69" width="7.83203125" style="1993" hidden="1" customWidth="1"/>
    <col min="70" max="70" width="7.1640625" style="1990" hidden="1" customWidth="1"/>
    <col min="71" max="71" width="6.83203125" style="1990" hidden="1" customWidth="1"/>
    <col min="72" max="72" width="1.1640625" style="2" hidden="1" customWidth="1"/>
    <col min="73" max="73" width="9.83203125" style="1992" hidden="1" customWidth="1"/>
    <col min="74" max="74" width="6.5" style="1994" hidden="1" customWidth="1"/>
    <col min="75" max="75" width="11.6640625" style="1994" hidden="1" customWidth="1"/>
    <col min="76" max="76" width="10.5" style="1985" hidden="1" customWidth="1"/>
    <col min="77" max="77" width="14.5" style="1985" hidden="1" customWidth="1"/>
    <col min="78" max="78" width="10.5" style="1994" hidden="1" customWidth="1"/>
    <col min="79" max="79" width="10.5" style="1985" hidden="1" customWidth="1"/>
    <col min="80" max="80" width="10.5" style="1995" hidden="1" customWidth="1"/>
    <col min="81" max="81" width="7.1640625" style="1994" hidden="1" customWidth="1"/>
    <col min="82" max="82" width="14" style="1994" customWidth="1"/>
    <col min="83" max="83" width="7.83203125" style="1996" bestFit="1" customWidth="1"/>
    <col min="84" max="84" width="13.1640625" style="1997" customWidth="1"/>
    <col min="85" max="85" width="12.1640625" style="1997" customWidth="1"/>
    <col min="86" max="86" width="11.33203125" style="1997" customWidth="1"/>
    <col min="87" max="16384" width="9.1640625" style="2"/>
  </cols>
  <sheetData>
    <row r="1" spans="1:99" s="274" customFormat="1" ht="25" thickBot="1" x14ac:dyDescent="0.25">
      <c r="A1" s="1907">
        <v>1</v>
      </c>
      <c r="C1" s="2367" t="s">
        <v>725</v>
      </c>
      <c r="D1" s="2367"/>
      <c r="E1" s="2367"/>
      <c r="F1" s="2367"/>
      <c r="G1" s="2367"/>
      <c r="H1" s="2367"/>
      <c r="I1" s="2367"/>
      <c r="J1" s="2367"/>
      <c r="K1" s="2367"/>
      <c r="L1" s="2367"/>
      <c r="M1" s="2367"/>
      <c r="N1" s="2367"/>
      <c r="O1" s="2367"/>
      <c r="P1" s="2367"/>
      <c r="Q1" s="2367"/>
      <c r="R1" s="2367"/>
      <c r="S1" s="2367"/>
      <c r="T1" s="2367"/>
      <c r="U1" s="2367"/>
      <c r="V1" s="2367"/>
      <c r="W1" s="2367"/>
      <c r="X1" s="2367"/>
      <c r="Y1" s="2367"/>
      <c r="Z1" s="2367"/>
      <c r="AA1" s="2367"/>
      <c r="AB1" s="2367"/>
      <c r="AC1" s="2367"/>
      <c r="AD1" s="2367"/>
      <c r="AE1" s="2367"/>
      <c r="AF1" s="2367"/>
      <c r="AG1" s="2367"/>
      <c r="AH1" s="2367"/>
      <c r="AI1" s="2367"/>
      <c r="AJ1" s="2367"/>
      <c r="AK1" s="2367"/>
      <c r="AL1" s="2367"/>
      <c r="AM1" s="2367"/>
      <c r="AN1" s="2367"/>
      <c r="AO1" s="2367"/>
      <c r="AP1" s="2367"/>
      <c r="AQ1" s="2367"/>
      <c r="AR1" s="2367"/>
      <c r="AS1" s="2367"/>
      <c r="AT1" s="2367"/>
      <c r="AU1" s="2367"/>
      <c r="AV1" s="2367"/>
      <c r="AW1" s="2367"/>
      <c r="AX1" s="2367"/>
      <c r="AY1" s="2367"/>
      <c r="AZ1" s="2367"/>
      <c r="BA1" s="2367"/>
      <c r="BC1" s="1928"/>
      <c r="BF1" s="2388" t="s">
        <v>725</v>
      </c>
      <c r="BG1" s="2388"/>
      <c r="BH1" s="2388"/>
      <c r="BI1" s="2388"/>
      <c r="BJ1" s="2388"/>
      <c r="BK1" s="2388"/>
      <c r="BL1" s="2388"/>
      <c r="BM1" s="2388"/>
      <c r="BN1" s="2388"/>
      <c r="BO1" s="2388"/>
      <c r="BP1" s="2388"/>
      <c r="BQ1" s="2388"/>
      <c r="BR1" s="2388"/>
      <c r="BS1" s="2388"/>
      <c r="BT1" s="2388"/>
      <c r="BU1" s="2388"/>
      <c r="BV1" s="2388"/>
      <c r="BW1" s="2388"/>
      <c r="BX1" s="2388"/>
      <c r="BY1" s="2388"/>
      <c r="BZ1" s="2388"/>
      <c r="CA1" s="2388"/>
      <c r="CB1" s="2388"/>
      <c r="CC1" s="2388"/>
      <c r="CD1" s="2388"/>
      <c r="CE1" s="2388"/>
      <c r="CF1" s="2388"/>
      <c r="CG1" s="2388"/>
      <c r="CH1" s="2388"/>
      <c r="CI1" s="1929"/>
      <c r="CJ1" s="1929"/>
      <c r="CK1" s="1929"/>
      <c r="CL1" s="1929"/>
      <c r="CM1" s="1929"/>
      <c r="CN1" s="1929"/>
      <c r="CO1" s="1929"/>
      <c r="CP1" s="1929"/>
      <c r="CQ1" s="1929"/>
      <c r="CR1" s="1929"/>
      <c r="CS1" s="1929"/>
      <c r="CT1" s="1929"/>
      <c r="CU1" s="1929"/>
    </row>
    <row r="2" spans="1:99" x14ac:dyDescent="0.2">
      <c r="A2" s="274">
        <v>2</v>
      </c>
      <c r="B2" s="1930"/>
      <c r="C2" s="2368" t="s">
        <v>249</v>
      </c>
      <c r="D2" s="2368"/>
      <c r="E2" s="2368"/>
      <c r="F2" s="2368"/>
      <c r="G2" s="2368"/>
      <c r="H2" s="2368"/>
      <c r="I2" s="2368"/>
      <c r="J2" s="2368"/>
      <c r="K2" s="2368"/>
      <c r="L2" s="2368"/>
      <c r="M2" s="2368"/>
      <c r="N2" s="2368"/>
      <c r="O2" s="2368"/>
      <c r="P2" s="2368"/>
      <c r="Q2" s="2368"/>
      <c r="R2" s="2368"/>
      <c r="S2" s="2368"/>
      <c r="T2" s="2368"/>
      <c r="U2" s="2368"/>
      <c r="V2" s="2368"/>
      <c r="W2" s="2368"/>
      <c r="X2" s="2368"/>
      <c r="Y2" s="2368"/>
      <c r="Z2" s="2368"/>
      <c r="AA2" s="2368"/>
      <c r="AB2" s="2368"/>
      <c r="AC2" s="2368"/>
      <c r="AD2" s="2368"/>
      <c r="AE2" s="2368"/>
      <c r="AF2" s="2368"/>
      <c r="AG2" s="2368"/>
      <c r="AH2" s="2368"/>
      <c r="AI2" s="2368"/>
      <c r="AJ2" s="2368"/>
      <c r="AK2" s="2368"/>
      <c r="AL2" s="2368"/>
      <c r="AM2" s="2368"/>
      <c r="AN2" s="2368"/>
      <c r="AO2" s="2368"/>
      <c r="AP2" s="2368"/>
      <c r="AQ2" s="2368"/>
      <c r="AR2" s="2368"/>
      <c r="AS2" s="2368"/>
      <c r="AT2" s="2368"/>
      <c r="AU2" s="2368"/>
      <c r="AV2" s="2368"/>
      <c r="AW2" s="2368"/>
      <c r="AX2" s="2368"/>
      <c r="AY2" s="2368"/>
      <c r="AZ2" s="2368"/>
      <c r="BA2" s="2368"/>
      <c r="BC2" s="274">
        <v>1</v>
      </c>
      <c r="BD2" s="2"/>
      <c r="BE2" s="1932"/>
      <c r="BF2" s="2371" t="s">
        <v>768</v>
      </c>
      <c r="BG2" s="2372"/>
      <c r="BH2" s="2372"/>
      <c r="BI2" s="2372"/>
      <c r="BJ2" s="2372"/>
      <c r="BK2" s="2372"/>
      <c r="BL2" s="2372"/>
      <c r="BM2" s="2372"/>
      <c r="BN2" s="2372"/>
      <c r="BO2" s="2372"/>
      <c r="BP2" s="2372"/>
      <c r="BQ2" s="2372"/>
      <c r="BR2" s="2372"/>
      <c r="BS2" s="2372"/>
      <c r="BT2" s="2372"/>
      <c r="BU2" s="2372"/>
      <c r="BV2" s="2372"/>
      <c r="BW2" s="2372"/>
      <c r="BX2" s="2372"/>
      <c r="BY2" s="2372"/>
      <c r="BZ2" s="2372"/>
      <c r="CA2" s="2372"/>
      <c r="CB2" s="2372"/>
      <c r="CC2" s="2372"/>
      <c r="CD2" s="2372"/>
      <c r="CE2" s="2372"/>
      <c r="CF2" s="2372"/>
      <c r="CG2" s="2372"/>
      <c r="CH2" s="2373"/>
    </row>
    <row r="3" spans="1:99" x14ac:dyDescent="0.2">
      <c r="A3" s="1907">
        <v>3</v>
      </c>
      <c r="B3" s="1930"/>
      <c r="C3" s="1931"/>
      <c r="D3" s="1931"/>
      <c r="E3" s="1931"/>
      <c r="F3" s="1931"/>
      <c r="G3" s="1931"/>
      <c r="H3" s="1931"/>
      <c r="I3" s="1931"/>
      <c r="J3" s="1931"/>
      <c r="K3" s="1931"/>
      <c r="L3" s="1931"/>
      <c r="M3" s="1931"/>
      <c r="N3" s="1931"/>
      <c r="O3" s="1931"/>
      <c r="P3" s="1931"/>
      <c r="Q3" s="1931"/>
      <c r="R3" s="1931"/>
      <c r="S3" s="1931"/>
      <c r="T3" s="1931"/>
      <c r="U3" s="1931"/>
      <c r="V3" s="1931"/>
      <c r="W3" s="1931"/>
      <c r="X3" s="1931"/>
      <c r="Y3" s="1931"/>
      <c r="Z3" s="1931"/>
      <c r="AA3" s="1931"/>
      <c r="AB3" s="1931"/>
      <c r="AC3" s="1931"/>
      <c r="AD3" s="1931"/>
      <c r="AE3" s="1931"/>
      <c r="AF3" s="1931"/>
      <c r="AG3" s="1931"/>
      <c r="AH3" s="1931"/>
      <c r="AI3" s="1931"/>
      <c r="AJ3" s="1931"/>
      <c r="AK3" s="1931"/>
      <c r="AL3" s="1931"/>
      <c r="AM3" s="1931"/>
      <c r="AN3" s="1931"/>
      <c r="AO3" s="1931"/>
      <c r="AP3" s="1931"/>
      <c r="AQ3" s="1931"/>
      <c r="AR3" s="1931"/>
      <c r="AS3" s="1931"/>
      <c r="AT3" s="1931"/>
      <c r="AU3" s="1931"/>
      <c r="AV3" s="1931"/>
      <c r="AW3" s="1931"/>
      <c r="AX3" s="1931"/>
      <c r="AY3" s="1931"/>
      <c r="AZ3" s="1931"/>
      <c r="BA3" s="1931"/>
      <c r="BC3" s="274"/>
      <c r="BD3" s="1933"/>
      <c r="BE3" s="1933"/>
      <c r="BF3" s="2377"/>
      <c r="BG3" s="2378"/>
      <c r="BH3" s="2378"/>
      <c r="BI3" s="2378"/>
      <c r="BJ3" s="2378"/>
      <c r="BK3" s="2378"/>
      <c r="BL3" s="2378"/>
      <c r="BM3" s="2378"/>
      <c r="BN3" s="2378"/>
      <c r="BO3" s="2378"/>
      <c r="BP3" s="2378"/>
      <c r="BQ3" s="2378"/>
      <c r="BR3" s="2378"/>
      <c r="BS3" s="2378"/>
      <c r="BT3" s="2378"/>
      <c r="BU3" s="2378"/>
      <c r="BV3" s="2378"/>
      <c r="BW3" s="2378"/>
      <c r="BX3" s="2378"/>
      <c r="BY3" s="2378"/>
      <c r="BZ3" s="2378"/>
      <c r="CA3" s="2378"/>
      <c r="CB3" s="2378"/>
      <c r="CC3" s="2378"/>
      <c r="CD3" s="2379"/>
      <c r="CE3" s="2374" t="s">
        <v>481</v>
      </c>
      <c r="CF3" s="2375"/>
      <c r="CG3" s="2376"/>
      <c r="CH3" s="1504" t="s">
        <v>519</v>
      </c>
    </row>
    <row r="4" spans="1:99" s="1345" customFormat="1" ht="32" x14ac:dyDescent="0.2">
      <c r="A4" s="274">
        <v>4</v>
      </c>
      <c r="B4" s="429" t="s">
        <v>250</v>
      </c>
      <c r="C4" s="429" t="s">
        <v>251</v>
      </c>
      <c r="D4" s="2330" t="s">
        <v>469</v>
      </c>
      <c r="E4" s="2330"/>
      <c r="F4" s="2330"/>
      <c r="G4" s="2330"/>
      <c r="H4" s="2330"/>
      <c r="I4" s="2330"/>
      <c r="J4" s="2330"/>
      <c r="K4" s="2330"/>
      <c r="L4" s="2330"/>
      <c r="M4" s="2330"/>
      <c r="N4" s="2330"/>
      <c r="O4" s="2330"/>
      <c r="P4" s="2330"/>
      <c r="Q4" s="2330"/>
      <c r="R4" s="2330"/>
      <c r="S4" s="2330"/>
      <c r="T4" s="2330"/>
      <c r="U4" s="2330"/>
      <c r="V4" s="2330"/>
      <c r="W4" s="2330"/>
      <c r="X4" s="2330"/>
      <c r="Y4" s="2330"/>
      <c r="Z4" s="2330"/>
      <c r="AA4" s="1934"/>
      <c r="AB4" s="1934"/>
      <c r="AC4" s="1935"/>
      <c r="AD4" s="2383" t="s">
        <v>157</v>
      </c>
      <c r="AE4" s="2384"/>
      <c r="AO4" s="429" t="s">
        <v>251</v>
      </c>
      <c r="AP4" s="2381" t="s">
        <v>469</v>
      </c>
      <c r="AQ4" s="2214"/>
      <c r="AR4" s="2382"/>
      <c r="AS4" s="2383" t="s">
        <v>157</v>
      </c>
      <c r="AT4" s="2384"/>
      <c r="AU4" s="430" t="s">
        <v>518</v>
      </c>
      <c r="AV4" s="431" t="s">
        <v>549</v>
      </c>
      <c r="AW4" s="2385" t="s">
        <v>712</v>
      </c>
      <c r="AX4" s="2385"/>
      <c r="AY4" s="2385"/>
      <c r="AZ4" s="2385"/>
      <c r="BA4" s="430" t="s">
        <v>678</v>
      </c>
      <c r="BB4" s="2"/>
      <c r="BC4" s="109">
        <v>2</v>
      </c>
      <c r="BD4" s="1936"/>
      <c r="BE4" s="1937"/>
      <c r="BF4" s="2406"/>
      <c r="BG4" s="2214"/>
      <c r="BH4" s="2214"/>
      <c r="BI4" s="2214"/>
      <c r="BJ4" s="2214"/>
      <c r="BK4" s="2214"/>
      <c r="BL4" s="2214"/>
      <c r="BM4" s="2382"/>
      <c r="BN4" s="669"/>
      <c r="BO4" s="2407" t="s">
        <v>769</v>
      </c>
      <c r="BP4" s="2408"/>
      <c r="BQ4" s="2408"/>
      <c r="BR4" s="2408"/>
      <c r="BS4" s="2408"/>
      <c r="BT4" s="2"/>
      <c r="BU4" s="664" t="s">
        <v>800</v>
      </c>
      <c r="BV4" s="2398" t="s">
        <v>856</v>
      </c>
      <c r="BW4" s="2399"/>
      <c r="BX4" s="2399"/>
      <c r="BY4" s="2400"/>
      <c r="BZ4" s="2409" t="s">
        <v>905</v>
      </c>
      <c r="CA4" s="2410"/>
      <c r="CB4" s="2411"/>
      <c r="CC4" s="847"/>
      <c r="CD4" s="847"/>
      <c r="CE4" s="1255">
        <v>2022</v>
      </c>
      <c r="CF4" s="747">
        <v>2023</v>
      </c>
      <c r="CG4" s="747">
        <v>2024</v>
      </c>
      <c r="CH4" s="1505">
        <v>2025</v>
      </c>
    </row>
    <row r="5" spans="1:99" ht="48" hidden="1" x14ac:dyDescent="0.2">
      <c r="A5" s="1907">
        <v>5</v>
      </c>
      <c r="B5" s="1346"/>
      <c r="C5" s="2380" t="s">
        <v>252</v>
      </c>
      <c r="D5" s="2368"/>
      <c r="E5" s="2368"/>
      <c r="F5" s="2368"/>
      <c r="G5" s="2368"/>
      <c r="H5" s="2368"/>
      <c r="I5" s="2368"/>
      <c r="J5" s="2368"/>
      <c r="K5" s="2368"/>
      <c r="L5" s="2368"/>
      <c r="M5" s="2368"/>
      <c r="N5" s="2368"/>
      <c r="O5" s="2368"/>
      <c r="P5" s="2368"/>
      <c r="Q5" s="2368"/>
      <c r="R5" s="2368"/>
      <c r="S5" s="2368"/>
      <c r="T5" s="2368"/>
      <c r="U5" s="2368"/>
      <c r="V5" s="2368"/>
      <c r="W5" s="2368"/>
      <c r="X5" s="2368"/>
      <c r="Y5" s="2368"/>
      <c r="Z5" s="2368"/>
      <c r="AA5" s="2368"/>
      <c r="AB5" s="2368"/>
      <c r="AC5" s="2368"/>
      <c r="AD5" s="2368"/>
      <c r="AE5" s="2368"/>
      <c r="AF5" s="2368"/>
      <c r="AG5" s="2368"/>
      <c r="AH5" s="2368"/>
      <c r="AI5" s="2368"/>
      <c r="AJ5" s="2368"/>
      <c r="AK5" s="2368"/>
      <c r="AL5" s="2368"/>
      <c r="AM5" s="2368"/>
      <c r="AN5" s="2368"/>
      <c r="AO5" s="2368"/>
      <c r="AP5" s="2368"/>
      <c r="AQ5" s="2368"/>
      <c r="AR5" s="2368"/>
      <c r="AS5" s="2368"/>
      <c r="AT5" s="2368"/>
      <c r="AU5" s="2368"/>
      <c r="AV5" s="2368"/>
      <c r="AW5" s="2368"/>
      <c r="AX5" s="2368"/>
      <c r="AY5" s="2368"/>
      <c r="AZ5" s="2368"/>
      <c r="BA5" s="2368"/>
      <c r="BC5" s="274">
        <v>3</v>
      </c>
      <c r="BD5" s="1938" t="s">
        <v>770</v>
      </c>
      <c r="BE5" s="1939" t="s">
        <v>771</v>
      </c>
      <c r="BF5" s="1506" t="s">
        <v>251</v>
      </c>
      <c r="BG5" s="692"/>
      <c r="BH5" s="692"/>
      <c r="BI5" s="693" t="s">
        <v>772</v>
      </c>
      <c r="BJ5" s="694" t="s">
        <v>773</v>
      </c>
      <c r="BK5" s="429" t="s">
        <v>774</v>
      </c>
      <c r="BL5" s="695" t="s">
        <v>775</v>
      </c>
      <c r="BM5" s="695" t="s">
        <v>769</v>
      </c>
      <c r="BN5" s="696" t="s">
        <v>776</v>
      </c>
      <c r="BO5" s="697">
        <v>43497</v>
      </c>
      <c r="BP5" s="697">
        <v>43647</v>
      </c>
      <c r="BQ5" s="697">
        <v>43709</v>
      </c>
      <c r="BR5" s="697">
        <v>43770</v>
      </c>
      <c r="BS5" s="697">
        <v>43800</v>
      </c>
      <c r="BT5" s="1345"/>
      <c r="BU5" s="695" t="s">
        <v>769</v>
      </c>
      <c r="BV5" s="748" t="s">
        <v>773</v>
      </c>
      <c r="BW5" s="749" t="s">
        <v>774</v>
      </c>
      <c r="BX5" s="803" t="s">
        <v>769</v>
      </c>
      <c r="BY5" s="750" t="s">
        <v>858</v>
      </c>
      <c r="BZ5" s="748"/>
      <c r="CA5" s="803" t="s">
        <v>906</v>
      </c>
      <c r="CB5" s="804" t="s">
        <v>769</v>
      </c>
      <c r="CC5" s="848"/>
      <c r="CD5" s="848"/>
      <c r="CE5" s="1254"/>
      <c r="CF5" s="751" t="s">
        <v>769</v>
      </c>
      <c r="CG5" s="751"/>
      <c r="CH5" s="1507" t="s">
        <v>769</v>
      </c>
    </row>
    <row r="6" spans="1:99" ht="16" hidden="1" x14ac:dyDescent="0.2">
      <c r="A6" s="274">
        <v>6</v>
      </c>
      <c r="B6" s="1346"/>
      <c r="C6" s="102" t="s">
        <v>296</v>
      </c>
      <c r="D6" s="443" t="s">
        <v>297</v>
      </c>
      <c r="E6" s="444">
        <v>1</v>
      </c>
      <c r="F6" s="445">
        <f>161.5*1.2</f>
        <v>193.79999999999998</v>
      </c>
      <c r="G6" s="444"/>
      <c r="H6" s="445"/>
      <c r="I6" s="446"/>
      <c r="J6" s="454"/>
      <c r="K6" s="447"/>
      <c r="L6" s="454"/>
      <c r="M6" s="454"/>
      <c r="N6" s="1940"/>
      <c r="O6" s="1941"/>
      <c r="P6" s="64"/>
      <c r="Q6" s="64"/>
      <c r="R6" s="55"/>
      <c r="S6" s="1347"/>
      <c r="T6" s="274" t="s">
        <v>298</v>
      </c>
      <c r="U6" s="51" t="s">
        <v>296</v>
      </c>
      <c r="V6" s="51"/>
      <c r="W6" s="449">
        <v>175</v>
      </c>
      <c r="X6" s="51">
        <v>1</v>
      </c>
      <c r="Y6" s="447">
        <f>+X6*W6</f>
        <v>175</v>
      </c>
      <c r="Z6" s="303">
        <f>-Y6*1.2</f>
        <v>-210</v>
      </c>
      <c r="AA6" s="51">
        <v>544</v>
      </c>
      <c r="AB6" s="448"/>
      <c r="AC6" s="1348" t="s">
        <v>299</v>
      </c>
      <c r="AD6" s="443"/>
      <c r="AE6" s="303">
        <v>0</v>
      </c>
      <c r="AF6" s="459">
        <v>13</v>
      </c>
      <c r="AG6" s="441">
        <v>72</v>
      </c>
      <c r="AH6" s="1683" t="s">
        <v>444</v>
      </c>
      <c r="AI6" s="2" t="s">
        <v>445</v>
      </c>
      <c r="AJ6" s="460">
        <v>29.83</v>
      </c>
      <c r="AK6" s="460">
        <v>59.66</v>
      </c>
      <c r="AL6" s="460">
        <v>71.59</v>
      </c>
      <c r="AM6" s="2" t="s">
        <v>443</v>
      </c>
      <c r="AO6" s="102"/>
      <c r="AP6" s="443"/>
      <c r="AQ6" s="51"/>
      <c r="AR6" s="449"/>
      <c r="AS6" s="443"/>
      <c r="AT6" s="450"/>
      <c r="AU6" s="303"/>
      <c r="AV6" s="449"/>
      <c r="AW6" s="12"/>
      <c r="AX6" s="1349"/>
      <c r="AY6" s="1349"/>
      <c r="AZ6" s="442"/>
      <c r="BA6" s="303"/>
      <c r="BC6" s="109">
        <v>4</v>
      </c>
      <c r="BD6" s="442"/>
      <c r="BE6" s="1942" t="s">
        <v>253</v>
      </c>
      <c r="BF6" s="1508" t="s">
        <v>971</v>
      </c>
      <c r="BG6" s="689"/>
      <c r="BH6" s="689"/>
      <c r="BI6" s="818">
        <v>43497</v>
      </c>
      <c r="BJ6" s="819">
        <v>754</v>
      </c>
      <c r="BK6" s="819">
        <v>3</v>
      </c>
      <c r="BL6" s="691">
        <v>260</v>
      </c>
      <c r="BM6" s="690">
        <v>936</v>
      </c>
      <c r="BN6" s="691">
        <v>-936</v>
      </c>
      <c r="BO6" s="691"/>
      <c r="BP6" s="690"/>
      <c r="BQ6" s="691"/>
      <c r="BR6" s="690"/>
      <c r="BS6" s="690"/>
      <c r="BT6" s="1509"/>
      <c r="BU6" s="690">
        <v>936</v>
      </c>
      <c r="BV6" s="763">
        <v>754</v>
      </c>
      <c r="BW6" s="820"/>
      <c r="BX6" s="887">
        <v>-936</v>
      </c>
      <c r="BY6" s="1350" t="s">
        <v>872</v>
      </c>
      <c r="BZ6" s="752"/>
      <c r="CA6" s="322"/>
      <c r="CB6" s="888"/>
      <c r="CC6" s="856"/>
      <c r="CD6" s="856"/>
      <c r="CE6" s="997"/>
      <c r="CF6" s="889"/>
      <c r="CG6" s="889"/>
      <c r="CH6" s="1510"/>
    </row>
    <row r="7" spans="1:99" hidden="1" x14ac:dyDescent="0.2">
      <c r="A7" s="1907">
        <v>7</v>
      </c>
      <c r="B7" s="1346"/>
      <c r="C7" s="102"/>
      <c r="D7" s="443"/>
      <c r="E7" s="446"/>
      <c r="F7" s="1351"/>
      <c r="G7" s="446"/>
      <c r="H7" s="1351"/>
      <c r="I7" s="446"/>
      <c r="J7" s="454"/>
      <c r="K7" s="447"/>
      <c r="L7" s="454"/>
      <c r="M7" s="454"/>
      <c r="N7" s="1943"/>
      <c r="O7" s="1941"/>
      <c r="P7" s="64"/>
      <c r="Q7" s="64"/>
      <c r="R7" s="55"/>
      <c r="S7" s="1347"/>
      <c r="U7" s="51"/>
      <c r="V7" s="51"/>
      <c r="W7" s="449"/>
      <c r="X7" s="51"/>
      <c r="Y7" s="447"/>
      <c r="Z7" s="303"/>
      <c r="AA7" s="51"/>
      <c r="AB7" s="448"/>
      <c r="AC7" s="1352"/>
      <c r="AD7" s="443"/>
      <c r="AE7" s="303"/>
      <c r="AF7" s="459"/>
      <c r="AG7" s="441"/>
      <c r="AH7" s="1683"/>
      <c r="AJ7" s="460"/>
      <c r="AK7" s="460"/>
      <c r="AL7" s="460"/>
      <c r="AO7" s="102"/>
      <c r="AP7" s="443"/>
      <c r="AQ7" s="51"/>
      <c r="AR7" s="449"/>
      <c r="AS7" s="443"/>
      <c r="AT7" s="450"/>
      <c r="AU7" s="303"/>
      <c r="AV7" s="449"/>
      <c r="AW7" s="12"/>
      <c r="AX7" s="1349"/>
      <c r="AY7" s="1349"/>
      <c r="AZ7" s="442"/>
      <c r="BA7" s="303"/>
      <c r="BC7" s="109"/>
      <c r="BD7" s="442"/>
      <c r="BE7" s="1944"/>
      <c r="BF7" s="1508"/>
      <c r="BG7" s="689"/>
      <c r="BH7" s="689"/>
      <c r="BI7" s="818"/>
      <c r="BJ7" s="819"/>
      <c r="BK7" s="819"/>
      <c r="BL7" s="691"/>
      <c r="BM7" s="690"/>
      <c r="BN7" s="691"/>
      <c r="BO7" s="691"/>
      <c r="BP7" s="690"/>
      <c r="BQ7" s="691"/>
      <c r="BR7" s="690"/>
      <c r="BS7" s="690"/>
      <c r="BT7" s="1509"/>
      <c r="BU7" s="860"/>
      <c r="BV7" s="763"/>
      <c r="BW7" s="820"/>
      <c r="BX7" s="887"/>
      <c r="BY7" s="1350"/>
      <c r="BZ7" s="752"/>
      <c r="CA7" s="322"/>
      <c r="CB7" s="888"/>
      <c r="CC7" s="856" t="s">
        <v>807</v>
      </c>
      <c r="CD7" s="856" t="s">
        <v>807</v>
      </c>
      <c r="CE7" s="997"/>
      <c r="CF7" s="889"/>
      <c r="CG7" s="889"/>
      <c r="CH7" s="1510"/>
    </row>
    <row r="8" spans="1:99" ht="16" hidden="1" x14ac:dyDescent="0.2">
      <c r="A8" s="274">
        <v>8</v>
      </c>
      <c r="B8" s="1346"/>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C8" s="274">
        <v>5</v>
      </c>
      <c r="BD8" s="442">
        <v>46.87</v>
      </c>
      <c r="BE8" s="1944" t="s">
        <v>777</v>
      </c>
      <c r="BF8" s="1511" t="s">
        <v>778</v>
      </c>
      <c r="BG8" s="1353">
        <v>40.89</v>
      </c>
      <c r="BH8" s="1353">
        <v>40.89</v>
      </c>
      <c r="BI8" s="1354">
        <v>43709</v>
      </c>
      <c r="BJ8" s="55">
        <v>819</v>
      </c>
      <c r="BK8" s="55">
        <v>1</v>
      </c>
      <c r="BL8" s="16">
        <v>41</v>
      </c>
      <c r="BM8" s="1355">
        <f>SUM(BO8:BS8)</f>
        <v>40.89</v>
      </c>
      <c r="BN8" s="16">
        <f t="shared" ref="BN8:BN42" si="0">+BD8-BM8</f>
        <v>5.9799999999999969</v>
      </c>
      <c r="BO8" s="16"/>
      <c r="BP8" s="1355"/>
      <c r="BQ8" s="16">
        <v>40.89</v>
      </c>
      <c r="BR8" s="1355"/>
      <c r="BS8" s="1355"/>
      <c r="BU8" s="2315">
        <v>2000</v>
      </c>
      <c r="BV8" s="752">
        <v>884</v>
      </c>
      <c r="BW8" s="753">
        <v>1</v>
      </c>
      <c r="BX8" s="322">
        <v>-35</v>
      </c>
      <c r="BY8" s="890" t="s">
        <v>859</v>
      </c>
      <c r="BZ8" s="752">
        <v>1</v>
      </c>
      <c r="CA8" s="322">
        <v>-35</v>
      </c>
      <c r="CB8" s="888">
        <f>+CA8</f>
        <v>-35</v>
      </c>
      <c r="CC8" s="856"/>
      <c r="CD8" s="856"/>
      <c r="CE8" s="997"/>
      <c r="CF8" s="889"/>
      <c r="CG8" s="889"/>
      <c r="CH8" s="1510"/>
    </row>
    <row r="9" spans="1:99" ht="16" hidden="1" x14ac:dyDescent="0.2">
      <c r="A9" s="1907">
        <v>9</v>
      </c>
      <c r="B9" s="1346"/>
      <c r="C9" s="846"/>
      <c r="D9" s="846"/>
      <c r="E9" s="846"/>
      <c r="F9" s="846"/>
      <c r="G9" s="846"/>
      <c r="H9" s="846"/>
      <c r="I9" s="846"/>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6"/>
      <c r="AP9" s="846"/>
      <c r="AQ9" s="846"/>
      <c r="AR9" s="846"/>
      <c r="AS9" s="846"/>
      <c r="AT9" s="846"/>
      <c r="AU9" s="846"/>
      <c r="AV9" s="846"/>
      <c r="AW9" s="846"/>
      <c r="AX9" s="846"/>
      <c r="AY9" s="846"/>
      <c r="AZ9" s="846"/>
      <c r="BA9" s="846"/>
      <c r="BC9" s="274"/>
      <c r="BD9" s="442"/>
      <c r="BE9" s="1944" t="s">
        <v>262</v>
      </c>
      <c r="BF9" s="1512" t="s">
        <v>778</v>
      </c>
      <c r="BG9" s="1353"/>
      <c r="BH9" s="1353"/>
      <c r="BI9" s="1354"/>
      <c r="BJ9" s="55"/>
      <c r="BK9" s="55"/>
      <c r="BL9" s="16"/>
      <c r="BM9" s="1355"/>
      <c r="BN9" s="16"/>
      <c r="BO9" s="16"/>
      <c r="BP9" s="1355"/>
      <c r="BQ9" s="16"/>
      <c r="BR9" s="1355"/>
      <c r="BS9" s="1355"/>
      <c r="BU9" s="2316"/>
      <c r="BV9" s="752"/>
      <c r="BW9" s="753"/>
      <c r="BX9" s="322"/>
      <c r="BY9" s="890"/>
      <c r="BZ9" s="752"/>
      <c r="CA9" s="322">
        <v>0</v>
      </c>
      <c r="CB9" s="888"/>
      <c r="CC9" s="857">
        <v>1</v>
      </c>
      <c r="CD9" s="857">
        <v>1</v>
      </c>
      <c r="CE9" s="998"/>
      <c r="CF9" s="889"/>
      <c r="CG9" s="889"/>
      <c r="CH9" s="1510"/>
    </row>
    <row r="10" spans="1:99" ht="16" hidden="1" x14ac:dyDescent="0.2">
      <c r="A10" s="274">
        <v>10</v>
      </c>
      <c r="B10" s="1346"/>
      <c r="C10" s="1356" t="s">
        <v>285</v>
      </c>
      <c r="D10" s="432" t="s">
        <v>255</v>
      </c>
      <c r="E10" s="433">
        <v>3</v>
      </c>
      <c r="F10" s="1945">
        <v>220.32</v>
      </c>
      <c r="G10" s="433">
        <v>1</v>
      </c>
      <c r="H10" s="1945">
        <f>61.2*1.2</f>
        <v>73.44</v>
      </c>
      <c r="I10" s="433">
        <v>2</v>
      </c>
      <c r="J10" s="439">
        <v>63.7</v>
      </c>
      <c r="K10" s="439"/>
      <c r="L10" s="439">
        <f>+J10*I10</f>
        <v>127.4</v>
      </c>
      <c r="M10" s="439">
        <f>+L10*0.2</f>
        <v>25.480000000000004</v>
      </c>
      <c r="N10" s="436">
        <f>+M10+L10</f>
        <v>152.88</v>
      </c>
      <c r="O10" s="439"/>
      <c r="P10" s="1362"/>
      <c r="Q10" s="1362"/>
      <c r="R10" s="1362"/>
      <c r="S10" s="1362"/>
      <c r="T10" s="433">
        <v>21</v>
      </c>
      <c r="U10" s="433" t="s">
        <v>286</v>
      </c>
      <c r="V10" s="433"/>
      <c r="W10" s="435">
        <v>64.97</v>
      </c>
      <c r="X10" s="433">
        <v>1</v>
      </c>
      <c r="Y10" s="439">
        <f>+X10*W10</f>
        <v>64.97</v>
      </c>
      <c r="Z10" s="437">
        <f>-Y10*1.2</f>
        <v>-77.963999999999999</v>
      </c>
      <c r="AA10" s="433">
        <v>544</v>
      </c>
      <c r="AB10" s="440">
        <f>+W10/J10-1</f>
        <v>1.9937205651491263E-2</v>
      </c>
      <c r="AC10" s="1362"/>
      <c r="AD10" s="432" t="s">
        <v>467</v>
      </c>
      <c r="AE10" s="437">
        <v>-156</v>
      </c>
      <c r="AF10" s="1655"/>
      <c r="AG10" s="434"/>
      <c r="AH10" s="1946"/>
      <c r="AI10" s="58"/>
      <c r="AJ10" s="1947"/>
      <c r="AK10" s="1947"/>
      <c r="AL10" s="1947"/>
      <c r="AM10" s="58"/>
      <c r="AN10" s="58">
        <v>12</v>
      </c>
      <c r="AO10" s="1356" t="s">
        <v>285</v>
      </c>
      <c r="AP10" s="432" t="s">
        <v>255</v>
      </c>
      <c r="AQ10" s="433">
        <v>1</v>
      </c>
      <c r="AR10" s="435">
        <v>77.963999999999999</v>
      </c>
      <c r="AS10" s="432" t="s">
        <v>467</v>
      </c>
      <c r="AT10" s="436">
        <v>156</v>
      </c>
      <c r="AU10" s="437">
        <f>-64.97*1.2</f>
        <v>-77.963999999999999</v>
      </c>
      <c r="AV10" s="435">
        <v>1614.8719999999998</v>
      </c>
      <c r="AW10" s="58">
        <v>724</v>
      </c>
      <c r="AX10" s="1357">
        <v>43375</v>
      </c>
      <c r="AY10" s="433" t="s">
        <v>716</v>
      </c>
      <c r="AZ10" s="438">
        <f>-129.94*1.2</f>
        <v>-155.928</v>
      </c>
      <c r="BA10" s="437"/>
      <c r="BC10" s="109">
        <v>6</v>
      </c>
      <c r="BD10" s="442">
        <v>127.51</v>
      </c>
      <c r="BE10" s="1944" t="s">
        <v>262</v>
      </c>
      <c r="BF10" s="1511" t="s">
        <v>779</v>
      </c>
      <c r="BG10" s="1353">
        <v>127.51</v>
      </c>
      <c r="BH10" s="1353">
        <v>127.51</v>
      </c>
      <c r="BI10" s="1354">
        <v>43709</v>
      </c>
      <c r="BJ10" s="55">
        <v>819</v>
      </c>
      <c r="BK10" s="55">
        <v>1</v>
      </c>
      <c r="BL10" s="16">
        <v>128</v>
      </c>
      <c r="BM10" s="1355">
        <f t="shared" ref="BM10:BM36" si="1">SUM(BO10:BS10)</f>
        <v>127.51</v>
      </c>
      <c r="BN10" s="16">
        <f t="shared" si="0"/>
        <v>0</v>
      </c>
      <c r="BO10" s="16"/>
      <c r="BP10" s="1355"/>
      <c r="BQ10" s="16">
        <v>127.51</v>
      </c>
      <c r="BR10" s="1355"/>
      <c r="BS10" s="1355"/>
      <c r="BU10" s="2316"/>
      <c r="BV10" s="752">
        <v>884</v>
      </c>
      <c r="BW10" s="753">
        <v>1</v>
      </c>
      <c r="BX10" s="322">
        <v>-129.06</v>
      </c>
      <c r="BY10" s="890" t="s">
        <v>859</v>
      </c>
      <c r="BZ10" s="752">
        <v>1</v>
      </c>
      <c r="CA10" s="322">
        <v>-139</v>
      </c>
      <c r="CB10" s="888">
        <v>-139</v>
      </c>
      <c r="CC10" s="856"/>
      <c r="CD10" s="856"/>
      <c r="CE10" s="997"/>
      <c r="CF10" s="889"/>
      <c r="CG10" s="889"/>
      <c r="CH10" s="1510"/>
    </row>
    <row r="11" spans="1:99" ht="16" hidden="1" x14ac:dyDescent="0.2">
      <c r="A11" s="1907">
        <v>11</v>
      </c>
      <c r="B11" s="1346"/>
      <c r="C11" s="1356" t="s">
        <v>264</v>
      </c>
      <c r="D11" s="1358" t="s">
        <v>265</v>
      </c>
      <c r="E11" s="1359">
        <v>3</v>
      </c>
      <c r="F11" s="1360">
        <f>172.5*1.2*3</f>
        <v>621</v>
      </c>
      <c r="G11" s="1359">
        <v>1</v>
      </c>
      <c r="H11" s="1360">
        <f>172.5*1.2</f>
        <v>207</v>
      </c>
      <c r="I11" s="1361">
        <v>2</v>
      </c>
      <c r="J11" s="439">
        <v>165</v>
      </c>
      <c r="K11" s="439"/>
      <c r="L11" s="439">
        <f>+J11*I11</f>
        <v>330</v>
      </c>
      <c r="M11" s="439">
        <f>+L11*0.2</f>
        <v>66</v>
      </c>
      <c r="N11" s="1948">
        <f>+M11+L11</f>
        <v>396</v>
      </c>
      <c r="O11" s="1949"/>
      <c r="P11" s="1362"/>
      <c r="Q11" s="1362"/>
      <c r="R11" s="1362"/>
      <c r="S11" s="1347"/>
      <c r="T11" s="274">
        <v>8</v>
      </c>
      <c r="U11" s="274" t="s">
        <v>266</v>
      </c>
      <c r="W11" s="435">
        <v>175.95</v>
      </c>
      <c r="X11" s="433">
        <v>2</v>
      </c>
      <c r="Y11" s="439">
        <f>+X11*W11</f>
        <v>351.9</v>
      </c>
      <c r="Z11" s="303">
        <f>-Y11*1.2</f>
        <v>-422.28</v>
      </c>
      <c r="AA11" s="433">
        <v>544</v>
      </c>
      <c r="AB11" s="440">
        <f>+W11/J11-1</f>
        <v>6.6363636363636402E-2</v>
      </c>
      <c r="AC11" s="1363" t="s">
        <v>257</v>
      </c>
      <c r="AD11" s="1358" t="s">
        <v>442</v>
      </c>
      <c r="AE11" s="303">
        <v>-422</v>
      </c>
      <c r="AF11" s="459"/>
      <c r="AG11" s="441"/>
      <c r="AJ11" s="460"/>
      <c r="AK11" s="460"/>
      <c r="AL11" s="460"/>
      <c r="AN11" s="2">
        <v>4</v>
      </c>
      <c r="AO11" s="1356" t="s">
        <v>264</v>
      </c>
      <c r="AP11" s="1358" t="s">
        <v>265</v>
      </c>
      <c r="AQ11" s="433">
        <v>2</v>
      </c>
      <c r="AR11" s="435">
        <v>422.28</v>
      </c>
      <c r="AS11" s="1358" t="s">
        <v>442</v>
      </c>
      <c r="AT11" s="436">
        <v>422</v>
      </c>
      <c r="AU11" s="303">
        <f>-358.92*1.2</f>
        <v>-430.70400000000001</v>
      </c>
      <c r="AV11" s="435">
        <v>1614.8719999999998</v>
      </c>
      <c r="AW11" s="12">
        <v>724</v>
      </c>
      <c r="AX11" s="1349">
        <v>43375</v>
      </c>
      <c r="AY11" s="51" t="s">
        <v>711</v>
      </c>
      <c r="AZ11" s="442">
        <f>-197.31*1.2</f>
        <v>-236.77199999999999</v>
      </c>
      <c r="BA11" s="303"/>
      <c r="BC11" s="274">
        <v>7</v>
      </c>
      <c r="BD11" s="442">
        <v>307.87200000000001</v>
      </c>
      <c r="BE11" s="1944" t="s">
        <v>262</v>
      </c>
      <c r="BF11" s="1511" t="s">
        <v>780</v>
      </c>
      <c r="BG11" s="1353">
        <v>87.22</v>
      </c>
      <c r="BH11" s="1353">
        <f>+BG11*3</f>
        <v>261.65999999999997</v>
      </c>
      <c r="BI11" s="1354">
        <v>43709</v>
      </c>
      <c r="BJ11" s="55">
        <v>819</v>
      </c>
      <c r="BK11" s="55">
        <v>3</v>
      </c>
      <c r="BL11" s="16">
        <v>87.219444444444449</v>
      </c>
      <c r="BM11" s="1355">
        <f t="shared" si="1"/>
        <v>313.99</v>
      </c>
      <c r="BN11" s="16">
        <f t="shared" si="0"/>
        <v>-6.117999999999995</v>
      </c>
      <c r="BO11" s="16"/>
      <c r="BP11" s="1355"/>
      <c r="BQ11" s="16">
        <v>313.99</v>
      </c>
      <c r="BR11" s="1355"/>
      <c r="BS11" s="1355"/>
      <c r="BU11" s="2316"/>
      <c r="BV11" s="752">
        <v>884</v>
      </c>
      <c r="BW11" s="753">
        <v>3</v>
      </c>
      <c r="BX11" s="322">
        <v>-323.49599999999998</v>
      </c>
      <c r="BY11" s="890" t="s">
        <v>859</v>
      </c>
      <c r="BZ11" s="752">
        <v>3</v>
      </c>
      <c r="CA11" s="322">
        <v>-284.85000000000002</v>
      </c>
      <c r="CB11" s="888">
        <f>+CA11*1.2</f>
        <v>-341.82</v>
      </c>
      <c r="CC11" s="856"/>
      <c r="CD11" s="856"/>
      <c r="CE11" s="997"/>
      <c r="CF11" s="889"/>
      <c r="CG11" s="889"/>
      <c r="CH11" s="1510"/>
    </row>
    <row r="12" spans="1:99" ht="16" hidden="1" x14ac:dyDescent="0.2">
      <c r="A12" s="274">
        <v>12</v>
      </c>
      <c r="B12" s="1346"/>
      <c r="C12" s="1356" t="s">
        <v>719</v>
      </c>
      <c r="D12" s="1358"/>
      <c r="E12" s="1359"/>
      <c r="F12" s="1360"/>
      <c r="G12" s="1359"/>
      <c r="H12" s="1360"/>
      <c r="I12" s="1361"/>
      <c r="J12" s="439"/>
      <c r="K12" s="439"/>
      <c r="L12" s="439"/>
      <c r="M12" s="439"/>
      <c r="N12" s="1948"/>
      <c r="O12" s="457"/>
      <c r="P12" s="64"/>
      <c r="Q12" s="64"/>
      <c r="R12" s="1362"/>
      <c r="S12" s="1347"/>
      <c r="W12" s="435"/>
      <c r="X12" s="433"/>
      <c r="Y12" s="439"/>
      <c r="Z12" s="303"/>
      <c r="AA12" s="433"/>
      <c r="AB12" s="440"/>
      <c r="AC12" s="1363"/>
      <c r="AD12" s="1358"/>
      <c r="AE12" s="303"/>
      <c r="AF12" s="459"/>
      <c r="AG12" s="441"/>
      <c r="AJ12" s="460"/>
      <c r="AK12" s="460"/>
      <c r="AL12" s="460"/>
      <c r="AO12" s="1356"/>
      <c r="AP12" s="1358"/>
      <c r="AQ12" s="433"/>
      <c r="AR12" s="435"/>
      <c r="AS12" s="1358"/>
      <c r="AT12" s="436"/>
      <c r="AU12" s="303"/>
      <c r="AV12" s="435"/>
      <c r="AW12" s="12">
        <v>704</v>
      </c>
      <c r="AX12" s="1349">
        <v>43296</v>
      </c>
      <c r="AY12" s="51" t="s">
        <v>707</v>
      </c>
      <c r="AZ12" s="442">
        <v>-144</v>
      </c>
      <c r="BA12" s="303"/>
      <c r="BC12" s="109">
        <v>8</v>
      </c>
      <c r="BD12" s="442">
        <v>90.53</v>
      </c>
      <c r="BE12" s="1944" t="s">
        <v>262</v>
      </c>
      <c r="BF12" s="1511" t="s">
        <v>781</v>
      </c>
      <c r="BG12" s="1353">
        <v>37.72</v>
      </c>
      <c r="BH12" s="1353">
        <f>+BG12*4</f>
        <v>150.88</v>
      </c>
      <c r="BI12" s="1364">
        <v>43497</v>
      </c>
      <c r="BJ12" s="55">
        <v>752</v>
      </c>
      <c r="BK12" s="55">
        <v>3</v>
      </c>
      <c r="BL12" s="16">
        <v>37.719444444444441</v>
      </c>
      <c r="BM12" s="1355">
        <f t="shared" si="1"/>
        <v>135.79</v>
      </c>
      <c r="BN12" s="2369">
        <f>+BD12+BD13-BM13-BM12</f>
        <v>-85.789999999999992</v>
      </c>
      <c r="BO12" s="16">
        <v>135.79</v>
      </c>
      <c r="BP12" s="1355"/>
      <c r="BQ12" s="16"/>
      <c r="BR12" s="1355"/>
      <c r="BS12" s="1355"/>
      <c r="BU12" s="2316"/>
      <c r="BV12" s="752">
        <v>861</v>
      </c>
      <c r="BW12" s="753">
        <v>4</v>
      </c>
      <c r="BX12" s="322">
        <v>-181.06</v>
      </c>
      <c r="BY12" s="890">
        <v>43925</v>
      </c>
      <c r="BZ12" s="752">
        <v>4</v>
      </c>
      <c r="CA12" s="322">
        <v>-128</v>
      </c>
      <c r="CB12" s="888">
        <f>+CA12*1.2</f>
        <v>-153.6</v>
      </c>
      <c r="CC12" s="856"/>
      <c r="CD12" s="856"/>
      <c r="CE12" s="997"/>
      <c r="CF12" s="889"/>
      <c r="CG12" s="889"/>
      <c r="CH12" s="1510"/>
    </row>
    <row r="13" spans="1:99" ht="16" hidden="1" x14ac:dyDescent="0.2">
      <c r="A13" s="1907">
        <v>13</v>
      </c>
      <c r="B13" s="1346"/>
      <c r="C13" s="102" t="s">
        <v>295</v>
      </c>
      <c r="D13" s="443" t="s">
        <v>262</v>
      </c>
      <c r="E13" s="444"/>
      <c r="F13" s="445"/>
      <c r="G13" s="444"/>
      <c r="H13" s="445"/>
      <c r="I13" s="446">
        <v>1</v>
      </c>
      <c r="J13" s="447">
        <v>83.33</v>
      </c>
      <c r="K13" s="447"/>
      <c r="L13" s="447">
        <f>+J13*I13</f>
        <v>83.33</v>
      </c>
      <c r="M13" s="447">
        <v>0</v>
      </c>
      <c r="N13" s="1383">
        <f>+M13+L13</f>
        <v>83.33</v>
      </c>
      <c r="O13" s="1950"/>
      <c r="P13" s="65"/>
      <c r="Q13" s="65"/>
      <c r="R13" s="55"/>
      <c r="S13" s="1347"/>
      <c r="T13" s="274">
        <v>27</v>
      </c>
      <c r="W13" s="337"/>
      <c r="X13" s="51"/>
      <c r="Y13" s="51"/>
      <c r="Z13" s="303"/>
      <c r="AA13" s="51"/>
      <c r="AB13" s="448"/>
      <c r="AC13" s="1365"/>
      <c r="AD13" s="443"/>
      <c r="AE13" s="303">
        <v>0</v>
      </c>
      <c r="AF13" s="459"/>
      <c r="AG13" s="441"/>
      <c r="AJ13" s="460"/>
      <c r="AK13" s="460"/>
      <c r="AL13" s="460"/>
      <c r="AO13" s="1356"/>
      <c r="AP13" s="1358"/>
      <c r="AQ13" s="433"/>
      <c r="AR13" s="435"/>
      <c r="AS13" s="1358"/>
      <c r="AT13" s="436"/>
      <c r="AU13" s="303"/>
      <c r="AV13" s="435"/>
      <c r="AW13" s="12"/>
      <c r="AX13" s="1349"/>
      <c r="AY13" s="51"/>
      <c r="AZ13" s="442"/>
      <c r="BA13" s="303"/>
      <c r="BC13" s="274">
        <v>9</v>
      </c>
      <c r="BD13" s="442">
        <v>140.53</v>
      </c>
      <c r="BE13" s="1944" t="s">
        <v>262</v>
      </c>
      <c r="BF13" s="1512" t="s">
        <v>781</v>
      </c>
      <c r="BG13" s="1353"/>
      <c r="BH13" s="1353"/>
      <c r="BI13" s="1354">
        <v>43709</v>
      </c>
      <c r="BJ13" s="55">
        <v>819</v>
      </c>
      <c r="BK13" s="55">
        <v>4</v>
      </c>
      <c r="BL13" s="16">
        <v>37.720833333333339</v>
      </c>
      <c r="BM13" s="1355">
        <f t="shared" si="1"/>
        <v>181.06</v>
      </c>
      <c r="BN13" s="2370"/>
      <c r="BO13" s="16"/>
      <c r="BP13" s="1355"/>
      <c r="BQ13" s="16">
        <v>181.06</v>
      </c>
      <c r="BR13" s="1355"/>
      <c r="BS13" s="1355"/>
      <c r="BU13" s="2316"/>
      <c r="BV13" s="752">
        <v>884</v>
      </c>
      <c r="BW13" s="753">
        <v>4</v>
      </c>
      <c r="BX13" s="322">
        <v>-153.6</v>
      </c>
      <c r="BY13" s="890" t="s">
        <v>859</v>
      </c>
      <c r="BZ13" s="752"/>
      <c r="CA13" s="322">
        <v>0</v>
      </c>
      <c r="CB13" s="888">
        <f>+CA13*1.2</f>
        <v>0</v>
      </c>
      <c r="CC13" s="857">
        <v>3</v>
      </c>
      <c r="CD13" s="857">
        <v>3</v>
      </c>
      <c r="CE13" s="998"/>
      <c r="CF13" s="889"/>
      <c r="CG13" s="889"/>
      <c r="CH13" s="1510"/>
    </row>
    <row r="14" spans="1:99" ht="16" hidden="1" x14ac:dyDescent="0.2">
      <c r="A14" s="274">
        <v>14</v>
      </c>
      <c r="B14" s="1346"/>
      <c r="C14" s="102"/>
      <c r="D14" s="443"/>
      <c r="E14" s="444"/>
      <c r="F14" s="445"/>
      <c r="G14" s="444"/>
      <c r="H14" s="445"/>
      <c r="I14" s="446"/>
      <c r="J14" s="447"/>
      <c r="K14" s="447"/>
      <c r="L14" s="447"/>
      <c r="M14" s="447"/>
      <c r="N14" s="1383"/>
      <c r="O14" s="1950"/>
      <c r="P14" s="65"/>
      <c r="Q14" s="65"/>
      <c r="R14" s="55"/>
      <c r="S14" s="1347"/>
      <c r="W14" s="337"/>
      <c r="X14" s="51"/>
      <c r="Y14" s="51"/>
      <c r="Z14" s="303"/>
      <c r="AA14" s="51"/>
      <c r="AB14" s="448"/>
      <c r="AC14" s="1365"/>
      <c r="AD14" s="443"/>
      <c r="AE14" s="303"/>
      <c r="AF14" s="459"/>
      <c r="AG14" s="441"/>
      <c r="AJ14" s="460"/>
      <c r="AK14" s="460"/>
      <c r="AL14" s="460"/>
      <c r="AO14" s="1356"/>
      <c r="AP14" s="1358"/>
      <c r="AQ14" s="433"/>
      <c r="AR14" s="435"/>
      <c r="AS14" s="1358"/>
      <c r="AT14" s="436"/>
      <c r="AU14" s="303"/>
      <c r="AV14" s="435"/>
      <c r="AW14" s="12"/>
      <c r="AX14" s="1349"/>
      <c r="AY14" s="51"/>
      <c r="AZ14" s="442"/>
      <c r="BA14" s="303"/>
      <c r="BC14" s="274"/>
      <c r="BD14" s="442"/>
      <c r="BE14" s="1944" t="s">
        <v>255</v>
      </c>
      <c r="BF14" s="1512" t="s">
        <v>988</v>
      </c>
      <c r="BG14" s="1353"/>
      <c r="BH14" s="1353"/>
      <c r="BI14" s="1354"/>
      <c r="BJ14" s="55"/>
      <c r="BK14" s="55"/>
      <c r="BL14" s="16"/>
      <c r="BM14" s="1355"/>
      <c r="BN14" s="1366"/>
      <c r="BO14" s="16"/>
      <c r="BP14" s="1355"/>
      <c r="BQ14" s="16"/>
      <c r="BR14" s="1355"/>
      <c r="BS14" s="1355"/>
      <c r="BU14" s="2316"/>
      <c r="BV14" s="752"/>
      <c r="BW14" s="753"/>
      <c r="BX14" s="322"/>
      <c r="BY14" s="890"/>
      <c r="BZ14" s="752"/>
      <c r="CA14" s="322">
        <v>0</v>
      </c>
      <c r="CB14" s="888"/>
      <c r="CC14" s="857">
        <v>2</v>
      </c>
      <c r="CD14" s="857">
        <v>2</v>
      </c>
      <c r="CE14" s="998"/>
      <c r="CF14" s="889"/>
      <c r="CG14" s="889"/>
      <c r="CH14" s="1510"/>
    </row>
    <row r="15" spans="1:99" ht="16" hidden="1" x14ac:dyDescent="0.2">
      <c r="A15" s="1907">
        <v>15</v>
      </c>
      <c r="B15" s="1346"/>
      <c r="C15" s="102" t="s">
        <v>720</v>
      </c>
      <c r="D15" s="443" t="s">
        <v>262</v>
      </c>
      <c r="E15" s="444">
        <v>1</v>
      </c>
      <c r="F15" s="445">
        <v>44.7</v>
      </c>
      <c r="G15" s="444" t="s">
        <v>282</v>
      </c>
      <c r="H15" s="445">
        <v>44.7</v>
      </c>
      <c r="I15" s="446">
        <v>1</v>
      </c>
      <c r="J15" s="447">
        <v>113.85</v>
      </c>
      <c r="K15" s="447"/>
      <c r="L15" s="447">
        <f>+J15*I15</f>
        <v>113.85</v>
      </c>
      <c r="M15" s="447">
        <v>0</v>
      </c>
      <c r="N15" s="1383">
        <f>+M15+L15</f>
        <v>113.85</v>
      </c>
      <c r="O15" s="1950"/>
      <c r="P15" s="65"/>
      <c r="Q15" s="65"/>
      <c r="R15" s="55"/>
      <c r="S15" s="1347"/>
      <c r="T15" s="274">
        <v>18</v>
      </c>
      <c r="U15" s="51" t="s">
        <v>281</v>
      </c>
      <c r="V15" s="51" t="s">
        <v>282</v>
      </c>
      <c r="W15" s="449">
        <v>46.57</v>
      </c>
      <c r="X15" s="51">
        <v>1</v>
      </c>
      <c r="Y15" s="447"/>
      <c r="Z15" s="303">
        <v>-46.57</v>
      </c>
      <c r="AA15" s="51">
        <v>544</v>
      </c>
      <c r="AB15" s="448"/>
      <c r="AC15" s="1348" t="s">
        <v>388</v>
      </c>
      <c r="AD15" s="443" t="s">
        <v>453</v>
      </c>
      <c r="AE15" s="303">
        <v>-47</v>
      </c>
      <c r="AF15" s="459">
        <v>7</v>
      </c>
      <c r="AG15" s="441">
        <v>298</v>
      </c>
      <c r="AH15" s="2" t="s">
        <v>434</v>
      </c>
      <c r="AI15" s="2" t="s">
        <v>435</v>
      </c>
      <c r="AJ15" s="460">
        <v>255.56</v>
      </c>
      <c r="AK15" s="460">
        <v>255.56</v>
      </c>
      <c r="AL15" s="460">
        <f>+AK15*1.2</f>
        <v>306.67199999999997</v>
      </c>
      <c r="AM15" s="2" t="s">
        <v>433</v>
      </c>
      <c r="AN15" s="2">
        <v>9</v>
      </c>
      <c r="AO15" s="102" t="s">
        <v>280</v>
      </c>
      <c r="AP15" s="443" t="s">
        <v>262</v>
      </c>
      <c r="AQ15" s="51">
        <v>1</v>
      </c>
      <c r="AR15" s="449">
        <v>46.57</v>
      </c>
      <c r="AS15" s="443" t="s">
        <v>453</v>
      </c>
      <c r="AT15" s="450">
        <v>47</v>
      </c>
      <c r="AU15" s="303">
        <v>-46.87</v>
      </c>
      <c r="AV15" s="449">
        <v>1614.8719999999998</v>
      </c>
      <c r="AW15" s="12">
        <v>725</v>
      </c>
      <c r="AX15" s="1349">
        <v>43369</v>
      </c>
      <c r="AY15" s="51" t="s">
        <v>708</v>
      </c>
      <c r="AZ15" s="442">
        <v>-46.87</v>
      </c>
      <c r="BA15" s="303"/>
      <c r="BC15" s="109">
        <v>10</v>
      </c>
      <c r="BD15" s="442">
        <v>71.591999999999999</v>
      </c>
      <c r="BE15" s="1944" t="s">
        <v>269</v>
      </c>
      <c r="BF15" s="1511" t="s">
        <v>782</v>
      </c>
      <c r="BG15" s="1353">
        <v>32.82</v>
      </c>
      <c r="BH15" s="1353">
        <f>+BG15*2</f>
        <v>65.64</v>
      </c>
      <c r="BI15" s="1354">
        <v>43709</v>
      </c>
      <c r="BJ15" s="55">
        <v>819</v>
      </c>
      <c r="BK15" s="55">
        <v>2</v>
      </c>
      <c r="BL15" s="16">
        <v>32.820833333333333</v>
      </c>
      <c r="BM15" s="1355">
        <f t="shared" si="1"/>
        <v>78.77</v>
      </c>
      <c r="BN15" s="16">
        <f t="shared" si="0"/>
        <v>-7.1779999999999973</v>
      </c>
      <c r="BO15" s="16"/>
      <c r="BP15" s="1355"/>
      <c r="BQ15" s="16">
        <v>78.77</v>
      </c>
      <c r="BR15" s="1355"/>
      <c r="BS15" s="1355"/>
      <c r="BU15" s="2316"/>
      <c r="BV15" s="752">
        <v>884</v>
      </c>
      <c r="BW15" s="753">
        <v>2</v>
      </c>
      <c r="BX15" s="322">
        <v>-79.007999999999996</v>
      </c>
      <c r="BY15" s="890" t="s">
        <v>859</v>
      </c>
      <c r="BZ15" s="752">
        <v>2</v>
      </c>
      <c r="CA15" s="322">
        <v>-64</v>
      </c>
      <c r="CB15" s="888">
        <f>+CA15*1.2</f>
        <v>-76.8</v>
      </c>
      <c r="CC15" s="856"/>
      <c r="CD15" s="856"/>
      <c r="CE15" s="997"/>
      <c r="CF15" s="889"/>
      <c r="CG15" s="889"/>
      <c r="CH15" s="1510"/>
    </row>
    <row r="16" spans="1:99" ht="32" hidden="1" x14ac:dyDescent="0.2">
      <c r="A16" s="274">
        <v>16</v>
      </c>
      <c r="B16" s="1346"/>
      <c r="C16" s="102"/>
      <c r="D16" s="443"/>
      <c r="E16" s="444"/>
      <c r="F16" s="445"/>
      <c r="G16" s="444"/>
      <c r="H16" s="445"/>
      <c r="I16" s="446"/>
      <c r="J16" s="447"/>
      <c r="K16" s="447"/>
      <c r="L16" s="447"/>
      <c r="M16" s="447"/>
      <c r="N16" s="1383"/>
      <c r="O16" s="457"/>
      <c r="P16" s="64"/>
      <c r="Q16" s="64"/>
      <c r="R16" s="55"/>
      <c r="S16" s="1347"/>
      <c r="U16" s="51"/>
      <c r="V16" s="51"/>
      <c r="W16" s="449"/>
      <c r="X16" s="51"/>
      <c r="Y16" s="447"/>
      <c r="Z16" s="303"/>
      <c r="AA16" s="51"/>
      <c r="AB16" s="448"/>
      <c r="AC16" s="1348"/>
      <c r="AD16" s="443"/>
      <c r="AE16" s="303"/>
      <c r="AF16" s="459"/>
      <c r="AG16" s="441"/>
      <c r="AJ16" s="460"/>
      <c r="AK16" s="460"/>
      <c r="AL16" s="460"/>
      <c r="AO16" s="102"/>
      <c r="AP16" s="443"/>
      <c r="AQ16" s="51"/>
      <c r="AR16" s="449"/>
      <c r="AS16" s="443"/>
      <c r="AT16" s="450"/>
      <c r="AU16" s="303"/>
      <c r="AV16" s="449"/>
      <c r="AW16" s="12"/>
      <c r="AX16" s="1349"/>
      <c r="AY16" s="51"/>
      <c r="AZ16" s="442"/>
      <c r="BA16" s="303"/>
      <c r="BC16" s="274">
        <v>11</v>
      </c>
      <c r="BD16" s="442"/>
      <c r="BE16" s="1944"/>
      <c r="BF16" s="1511" t="s">
        <v>926</v>
      </c>
      <c r="BG16" s="1368"/>
      <c r="BH16" s="1368"/>
      <c r="BI16" s="1369"/>
      <c r="BJ16" s="1367"/>
      <c r="BK16" s="1367"/>
      <c r="BL16" s="1370"/>
      <c r="BM16" s="1371"/>
      <c r="BN16" s="1370"/>
      <c r="BO16" s="1370"/>
      <c r="BP16" s="1371"/>
      <c r="BQ16" s="1370"/>
      <c r="BR16" s="1371"/>
      <c r="BS16" s="1371"/>
      <c r="BU16" s="2316"/>
      <c r="BV16" s="752"/>
      <c r="BW16" s="753"/>
      <c r="BX16" s="322"/>
      <c r="BY16" s="890"/>
      <c r="BZ16" s="752">
        <v>4</v>
      </c>
      <c r="CA16" s="322">
        <v>0</v>
      </c>
      <c r="CB16" s="888">
        <v>-268.8</v>
      </c>
      <c r="CC16" s="856"/>
      <c r="CD16" s="856"/>
      <c r="CE16" s="997"/>
      <c r="CF16" s="889"/>
      <c r="CG16" s="889"/>
      <c r="CH16" s="1510"/>
    </row>
    <row r="17" spans="1:86" ht="16" hidden="1" x14ac:dyDescent="0.2">
      <c r="A17" s="1907">
        <v>17</v>
      </c>
      <c r="B17" s="1346"/>
      <c r="C17" s="102" t="s">
        <v>721</v>
      </c>
      <c r="D17" s="443" t="s">
        <v>262</v>
      </c>
      <c r="E17" s="444">
        <v>1</v>
      </c>
      <c r="F17" s="445">
        <v>140</v>
      </c>
      <c r="G17" s="444">
        <v>1</v>
      </c>
      <c r="H17" s="445">
        <v>140</v>
      </c>
      <c r="I17" s="446">
        <v>1</v>
      </c>
      <c r="J17" s="447">
        <v>125.01</v>
      </c>
      <c r="K17" s="447"/>
      <c r="L17" s="447">
        <f>+J17*I17</f>
        <v>125.01</v>
      </c>
      <c r="M17" s="447">
        <v>0</v>
      </c>
      <c r="N17" s="1383">
        <f>+M17+L17</f>
        <v>125.01</v>
      </c>
      <c r="O17" s="1949"/>
      <c r="P17" s="1362"/>
      <c r="Q17" s="1362"/>
      <c r="R17" s="55"/>
      <c r="S17" s="1347"/>
      <c r="T17" s="274">
        <v>17</v>
      </c>
      <c r="U17" s="51" t="s">
        <v>278</v>
      </c>
      <c r="V17" s="51" t="s">
        <v>279</v>
      </c>
      <c r="W17" s="449">
        <v>127.51</v>
      </c>
      <c r="X17" s="51">
        <v>1</v>
      </c>
      <c r="Y17" s="447"/>
      <c r="Z17" s="303">
        <v>-127.51</v>
      </c>
      <c r="AA17" s="51">
        <v>544</v>
      </c>
      <c r="AB17" s="448">
        <f>+W17/J17-1</f>
        <v>1.9998400127989813E-2</v>
      </c>
      <c r="AC17" s="1951" t="s">
        <v>387</v>
      </c>
      <c r="AD17" s="443" t="s">
        <v>451</v>
      </c>
      <c r="AE17" s="303">
        <v>-128</v>
      </c>
      <c r="AF17" s="459">
        <v>25</v>
      </c>
      <c r="AG17" s="441">
        <v>44</v>
      </c>
      <c r="AH17" s="2" t="s">
        <v>457</v>
      </c>
      <c r="AI17" s="2" t="s">
        <v>458</v>
      </c>
      <c r="AJ17" s="460">
        <v>36.75</v>
      </c>
      <c r="AK17" s="460">
        <v>36.75</v>
      </c>
      <c r="AL17" s="460">
        <v>44.1</v>
      </c>
      <c r="AM17" s="2" t="s">
        <v>456</v>
      </c>
      <c r="AN17" s="2">
        <v>8</v>
      </c>
      <c r="AO17" s="102" t="s">
        <v>277</v>
      </c>
      <c r="AP17" s="443" t="s">
        <v>262</v>
      </c>
      <c r="AQ17" s="51">
        <v>1</v>
      </c>
      <c r="AR17" s="449">
        <v>127.51</v>
      </c>
      <c r="AS17" s="443" t="s">
        <v>451</v>
      </c>
      <c r="AT17" s="450">
        <v>128</v>
      </c>
      <c r="AU17" s="303">
        <v>-127.51</v>
      </c>
      <c r="AV17" s="449">
        <v>1614.8719999999998</v>
      </c>
      <c r="AW17" s="12">
        <v>725</v>
      </c>
      <c r="AX17" s="1349">
        <v>43369</v>
      </c>
      <c r="AY17" s="51" t="s">
        <v>707</v>
      </c>
      <c r="AZ17" s="442">
        <v>-127.51</v>
      </c>
      <c r="BA17" s="303"/>
      <c r="BC17" s="109">
        <v>12</v>
      </c>
      <c r="BD17" s="442">
        <v>71.88</v>
      </c>
      <c r="BE17" s="1942" t="s">
        <v>269</v>
      </c>
      <c r="BF17" s="1511" t="s">
        <v>783</v>
      </c>
      <c r="BG17" s="1353">
        <v>29.95</v>
      </c>
      <c r="BH17" s="1353">
        <v>29.95</v>
      </c>
      <c r="BI17" s="1354">
        <v>43709</v>
      </c>
      <c r="BJ17" s="55">
        <v>819</v>
      </c>
      <c r="BK17" s="55">
        <v>1</v>
      </c>
      <c r="BL17" s="16">
        <v>29.95</v>
      </c>
      <c r="BM17" s="1355">
        <f t="shared" si="1"/>
        <v>35.94</v>
      </c>
      <c r="BN17" s="16">
        <f t="shared" si="0"/>
        <v>35.94</v>
      </c>
      <c r="BO17" s="16"/>
      <c r="BP17" s="1355"/>
      <c r="BQ17" s="16">
        <v>35.94</v>
      </c>
      <c r="BR17" s="1355"/>
      <c r="BS17" s="1355"/>
      <c r="BU17" s="2316"/>
      <c r="BV17" s="752">
        <v>884</v>
      </c>
      <c r="BW17" s="753">
        <v>2</v>
      </c>
      <c r="BX17" s="322">
        <v>-61.99199999999999</v>
      </c>
      <c r="BY17" s="890" t="s">
        <v>859</v>
      </c>
      <c r="BZ17" s="752">
        <v>2</v>
      </c>
      <c r="CA17" s="322">
        <v>-50</v>
      </c>
      <c r="CB17" s="888">
        <f>+CA17*1.2</f>
        <v>-60</v>
      </c>
      <c r="CC17" s="856"/>
      <c r="CD17" s="856"/>
      <c r="CE17" s="997"/>
      <c r="CF17" s="889"/>
      <c r="CG17" s="889"/>
      <c r="CH17" s="1510"/>
    </row>
    <row r="18" spans="1:86" ht="16" hidden="1" x14ac:dyDescent="0.2">
      <c r="A18" s="274">
        <v>18</v>
      </c>
      <c r="B18" s="1346"/>
      <c r="C18" s="102" t="s">
        <v>248</v>
      </c>
      <c r="D18" s="443" t="s">
        <v>253</v>
      </c>
      <c r="E18" s="444"/>
      <c r="F18" s="445"/>
      <c r="G18" s="444"/>
      <c r="H18" s="445">
        <v>632.36</v>
      </c>
      <c r="I18" s="446"/>
      <c r="J18" s="51"/>
      <c r="K18" s="51"/>
      <c r="L18" s="51"/>
      <c r="M18" s="51"/>
      <c r="N18" s="445"/>
      <c r="O18" s="451">
        <v>297.74</v>
      </c>
      <c r="P18" s="56">
        <v>524</v>
      </c>
      <c r="Q18" s="1372">
        <v>42500</v>
      </c>
      <c r="R18" s="452"/>
      <c r="S18" s="453"/>
      <c r="U18" s="51"/>
      <c r="V18" s="51"/>
      <c r="W18" s="449">
        <v>248.12</v>
      </c>
      <c r="X18" s="51">
        <v>1</v>
      </c>
      <c r="Y18" s="447">
        <f>+X18*W18</f>
        <v>248.12</v>
      </c>
      <c r="Z18" s="303">
        <f>-Y18*1.2</f>
        <v>-297.74399999999997</v>
      </c>
      <c r="AA18" s="51">
        <v>524</v>
      </c>
      <c r="AB18" s="449"/>
      <c r="AC18" s="1373"/>
      <c r="AD18" s="443" t="s">
        <v>435</v>
      </c>
      <c r="AE18" s="303">
        <v>-307</v>
      </c>
      <c r="AF18" s="459">
        <v>15</v>
      </c>
      <c r="AG18" s="441">
        <v>67</v>
      </c>
      <c r="AH18" s="1683" t="s">
        <v>448</v>
      </c>
      <c r="AI18" s="2" t="s">
        <v>449</v>
      </c>
      <c r="AJ18" s="460">
        <v>27.88</v>
      </c>
      <c r="AK18" s="460">
        <v>55.76</v>
      </c>
      <c r="AL18" s="460">
        <v>66.91</v>
      </c>
      <c r="AM18" s="2" t="s">
        <v>378</v>
      </c>
      <c r="AN18" s="2">
        <v>1</v>
      </c>
      <c r="AO18" s="102" t="s">
        <v>248</v>
      </c>
      <c r="AP18" s="443" t="s">
        <v>253</v>
      </c>
      <c r="AQ18" s="51">
        <v>1</v>
      </c>
      <c r="AR18" s="449">
        <v>297.74399999999997</v>
      </c>
      <c r="AS18" s="443" t="s">
        <v>435</v>
      </c>
      <c r="AT18" s="450">
        <v>307</v>
      </c>
      <c r="AU18" s="303"/>
      <c r="AV18" s="449"/>
      <c r="AW18" s="12"/>
      <c r="AX18" s="1349"/>
      <c r="AY18" s="51"/>
      <c r="AZ18" s="442"/>
      <c r="BA18" s="303"/>
      <c r="BC18" s="274">
        <v>13</v>
      </c>
      <c r="BD18" s="442">
        <v>81.311999999999998</v>
      </c>
      <c r="BE18" s="1942" t="s">
        <v>262</v>
      </c>
      <c r="BF18" s="1511" t="s">
        <v>784</v>
      </c>
      <c r="BG18" s="1353">
        <v>33.880000000000003</v>
      </c>
      <c r="BH18" s="1353">
        <f>+BG18*2</f>
        <v>67.760000000000005</v>
      </c>
      <c r="BI18" s="1354">
        <v>43709</v>
      </c>
      <c r="BJ18" s="55">
        <v>819</v>
      </c>
      <c r="BK18" s="55">
        <v>2</v>
      </c>
      <c r="BL18" s="16">
        <v>33.87916666666667</v>
      </c>
      <c r="BM18" s="1355">
        <f t="shared" si="1"/>
        <v>81.31</v>
      </c>
      <c r="BN18" s="16">
        <f t="shared" si="0"/>
        <v>1.9999999999953388E-3</v>
      </c>
      <c r="BO18" s="16"/>
      <c r="BP18" s="1355"/>
      <c r="BQ18" s="16">
        <v>81.31</v>
      </c>
      <c r="BR18" s="1355"/>
      <c r="BS18" s="1355"/>
      <c r="BU18" s="2316"/>
      <c r="BV18" s="752">
        <v>884</v>
      </c>
      <c r="BW18" s="753">
        <v>2</v>
      </c>
      <c r="BX18" s="322">
        <v>-81.311999999999998</v>
      </c>
      <c r="BY18" s="890" t="s">
        <v>859</v>
      </c>
      <c r="BZ18" s="752">
        <v>2</v>
      </c>
      <c r="CA18" s="322">
        <v>-67.760000000000005</v>
      </c>
      <c r="CB18" s="888">
        <f>+CA18*1.2</f>
        <v>-81.311999999999998</v>
      </c>
      <c r="CC18" s="856"/>
      <c r="CD18" s="856"/>
      <c r="CE18" s="997"/>
      <c r="CF18" s="889"/>
      <c r="CG18" s="889"/>
      <c r="CH18" s="1510"/>
    </row>
    <row r="19" spans="1:86" ht="32" hidden="1" x14ac:dyDescent="0.2">
      <c r="A19" s="1907">
        <v>19</v>
      </c>
      <c r="B19" s="1374"/>
      <c r="C19" s="102" t="s">
        <v>389</v>
      </c>
      <c r="D19" s="443"/>
      <c r="E19" s="444"/>
      <c r="F19" s="445"/>
      <c r="G19" s="444" t="s">
        <v>390</v>
      </c>
      <c r="H19" s="445">
        <f>54.86*1.2</f>
        <v>65.831999999999994</v>
      </c>
      <c r="I19" s="446"/>
      <c r="J19" s="454"/>
      <c r="K19" s="447"/>
      <c r="L19" s="454"/>
      <c r="M19" s="454"/>
      <c r="N19" s="1940"/>
      <c r="O19" s="1941"/>
      <c r="P19" s="64"/>
      <c r="Q19" s="64"/>
      <c r="R19" s="55"/>
      <c r="S19" s="1347"/>
      <c r="T19" s="274" t="s">
        <v>298</v>
      </c>
      <c r="U19" s="51" t="s">
        <v>296</v>
      </c>
      <c r="V19" s="51"/>
      <c r="W19" s="449"/>
      <c r="X19" s="51"/>
      <c r="Y19" s="447">
        <f>+X19*W19</f>
        <v>0</v>
      </c>
      <c r="Z19" s="303">
        <f>-Y19*1.2</f>
        <v>0</v>
      </c>
      <c r="AA19" s="51"/>
      <c r="AB19" s="448"/>
      <c r="AC19" s="1348"/>
      <c r="AD19" s="443"/>
      <c r="AE19" s="303">
        <v>0</v>
      </c>
      <c r="AF19" s="459">
        <v>14</v>
      </c>
      <c r="AG19" s="441"/>
      <c r="AH19" s="1683" t="s">
        <v>447</v>
      </c>
      <c r="AI19" s="2" t="s">
        <v>445</v>
      </c>
      <c r="AJ19" s="460">
        <v>28.92</v>
      </c>
      <c r="AK19" s="460">
        <v>57.84</v>
      </c>
      <c r="AL19" s="460">
        <v>69.400000000000006</v>
      </c>
      <c r="AM19" s="2" t="s">
        <v>376</v>
      </c>
      <c r="AO19" s="102"/>
      <c r="AP19" s="443"/>
      <c r="AQ19" s="51"/>
      <c r="AR19" s="449"/>
      <c r="AS19" s="443"/>
      <c r="AT19" s="450"/>
      <c r="AU19" s="303"/>
      <c r="AV19" s="449"/>
      <c r="AW19" s="12"/>
      <c r="AX19" s="1349"/>
      <c r="AY19" s="1349"/>
      <c r="AZ19" s="442"/>
      <c r="BA19" s="303"/>
      <c r="BC19" s="109">
        <v>14</v>
      </c>
      <c r="BD19" s="442">
        <v>104.11199999999999</v>
      </c>
      <c r="BE19" s="1942" t="s">
        <v>269</v>
      </c>
      <c r="BF19" s="1511" t="s">
        <v>785</v>
      </c>
      <c r="BG19" s="1353">
        <v>28.92</v>
      </c>
      <c r="BH19" s="1353">
        <f>+BG19*3</f>
        <v>86.76</v>
      </c>
      <c r="BI19" s="1354">
        <v>43709</v>
      </c>
      <c r="BJ19" s="55">
        <v>819</v>
      </c>
      <c r="BK19" s="55">
        <v>3</v>
      </c>
      <c r="BL19" s="16">
        <v>28.919444444444444</v>
      </c>
      <c r="BM19" s="1355">
        <f t="shared" si="1"/>
        <v>104.11</v>
      </c>
      <c r="BN19" s="16">
        <f t="shared" si="0"/>
        <v>1.9999999999953388E-3</v>
      </c>
      <c r="BO19" s="16"/>
      <c r="BP19" s="1355"/>
      <c r="BQ19" s="16">
        <v>104.11</v>
      </c>
      <c r="BR19" s="1355"/>
      <c r="BS19" s="1355"/>
      <c r="BU19" s="2316"/>
      <c r="BV19" s="752">
        <v>884</v>
      </c>
      <c r="BW19" s="753">
        <v>2</v>
      </c>
      <c r="BX19" s="322">
        <v>-69.408000000000001</v>
      </c>
      <c r="BY19" s="890" t="s">
        <v>859</v>
      </c>
      <c r="BZ19" s="752">
        <v>4</v>
      </c>
      <c r="CA19" s="322">
        <v>-115.68</v>
      </c>
      <c r="CB19" s="888">
        <f>+CA19*1.2</f>
        <v>-138.816</v>
      </c>
      <c r="CC19" s="856"/>
      <c r="CD19" s="856"/>
      <c r="CE19" s="997"/>
      <c r="CF19" s="889"/>
      <c r="CG19" s="889"/>
      <c r="CH19" s="1510"/>
    </row>
    <row r="20" spans="1:86" ht="32" hidden="1" x14ac:dyDescent="0.2">
      <c r="A20" s="274">
        <v>20</v>
      </c>
      <c r="B20" s="1374"/>
      <c r="C20" s="102"/>
      <c r="D20" s="443"/>
      <c r="E20" s="444"/>
      <c r="F20" s="445"/>
      <c r="G20" s="444"/>
      <c r="H20" s="445"/>
      <c r="I20" s="446"/>
      <c r="J20" s="454"/>
      <c r="K20" s="447"/>
      <c r="L20" s="454"/>
      <c r="M20" s="454"/>
      <c r="N20" s="1940"/>
      <c r="O20" s="1941"/>
      <c r="P20" s="64"/>
      <c r="Q20" s="64"/>
      <c r="R20" s="55"/>
      <c r="S20" s="1347"/>
      <c r="U20" s="51"/>
      <c r="V20" s="51"/>
      <c r="W20" s="449"/>
      <c r="X20" s="51"/>
      <c r="Y20" s="447"/>
      <c r="Z20" s="303"/>
      <c r="AA20" s="51"/>
      <c r="AB20" s="448"/>
      <c r="AC20" s="1348"/>
      <c r="AD20" s="443"/>
      <c r="AE20" s="303"/>
      <c r="AF20" s="459"/>
      <c r="AG20" s="441"/>
      <c r="AH20" s="1683"/>
      <c r="AJ20" s="460"/>
      <c r="AK20" s="460"/>
      <c r="AL20" s="460"/>
      <c r="AO20" s="102"/>
      <c r="AP20" s="443"/>
      <c r="AQ20" s="51"/>
      <c r="AR20" s="449"/>
      <c r="AS20" s="443"/>
      <c r="AT20" s="450"/>
      <c r="AU20" s="303"/>
      <c r="AV20" s="449"/>
      <c r="AW20" s="12"/>
      <c r="AX20" s="1349"/>
      <c r="AY20" s="1349"/>
      <c r="AZ20" s="442"/>
      <c r="BA20" s="303"/>
      <c r="BC20" s="274">
        <v>15</v>
      </c>
      <c r="BD20" s="442"/>
      <c r="BE20" s="1942"/>
      <c r="BF20" s="1511" t="s">
        <v>927</v>
      </c>
      <c r="BG20" s="1368"/>
      <c r="BH20" s="1368"/>
      <c r="BI20" s="1369"/>
      <c r="BJ20" s="1367"/>
      <c r="BK20" s="1367"/>
      <c r="BL20" s="1370"/>
      <c r="BM20" s="1371"/>
      <c r="BN20" s="1370"/>
      <c r="BO20" s="1370"/>
      <c r="BP20" s="1371"/>
      <c r="BQ20" s="1370"/>
      <c r="BR20" s="1371"/>
      <c r="BS20" s="1371"/>
      <c r="BU20" s="2316"/>
      <c r="BV20" s="752"/>
      <c r="BW20" s="753"/>
      <c r="BX20" s="322"/>
      <c r="BY20" s="890"/>
      <c r="BZ20" s="752">
        <v>2</v>
      </c>
      <c r="CA20" s="322">
        <v>0</v>
      </c>
      <c r="CB20" s="888">
        <v>-69.41</v>
      </c>
      <c r="CC20" s="856"/>
      <c r="CD20" s="856"/>
      <c r="CE20" s="997"/>
      <c r="CF20" s="889"/>
      <c r="CG20" s="889"/>
      <c r="CH20" s="1510"/>
    </row>
    <row r="21" spans="1:86" ht="16" hidden="1" x14ac:dyDescent="0.2">
      <c r="A21" s="1907">
        <v>21</v>
      </c>
      <c r="B21" s="1346"/>
      <c r="C21" s="102" t="s">
        <v>1388</v>
      </c>
      <c r="D21" s="443" t="s">
        <v>253</v>
      </c>
      <c r="E21" s="444"/>
      <c r="F21" s="445"/>
      <c r="G21" s="444"/>
      <c r="H21" s="445"/>
      <c r="I21" s="446"/>
      <c r="J21" s="454"/>
      <c r="K21" s="447"/>
      <c r="L21" s="454"/>
      <c r="M21" s="454"/>
      <c r="N21" s="1940"/>
      <c r="O21" s="1941"/>
      <c r="P21" s="64"/>
      <c r="Q21" s="64"/>
      <c r="R21" s="55"/>
      <c r="S21" s="1347"/>
      <c r="U21" s="51"/>
      <c r="V21" s="51"/>
      <c r="W21" s="449"/>
      <c r="X21" s="51"/>
      <c r="Y21" s="447"/>
      <c r="Z21" s="303"/>
      <c r="AA21" s="51"/>
      <c r="AB21" s="448"/>
      <c r="AC21" s="1348"/>
      <c r="AD21" s="443"/>
      <c r="AE21" s="303">
        <v>0</v>
      </c>
      <c r="AF21" s="459"/>
      <c r="AG21" s="441"/>
      <c r="AJ21" s="460"/>
      <c r="AK21" s="460"/>
      <c r="AL21" s="460"/>
      <c r="AO21" s="102"/>
      <c r="AP21" s="443"/>
      <c r="AQ21" s="51"/>
      <c r="AR21" s="449"/>
      <c r="AS21" s="443"/>
      <c r="AT21" s="450"/>
      <c r="AU21" s="303">
        <v>-306</v>
      </c>
      <c r="AV21" s="449"/>
      <c r="AW21" s="12"/>
      <c r="AX21" s="1349"/>
      <c r="AY21" s="1349"/>
      <c r="AZ21" s="442"/>
      <c r="BA21" s="303"/>
      <c r="BC21" s="109">
        <v>16</v>
      </c>
      <c r="BD21" s="442">
        <v>155.9</v>
      </c>
      <c r="BE21" s="1942" t="s">
        <v>262</v>
      </c>
      <c r="BF21" s="1513" t="s">
        <v>786</v>
      </c>
      <c r="BG21" s="671">
        <v>32.479999999999997</v>
      </c>
      <c r="BH21" s="1353">
        <f>+BG21*2</f>
        <v>64.959999999999994</v>
      </c>
      <c r="BI21" s="1354">
        <v>43709</v>
      </c>
      <c r="BJ21" s="55">
        <v>819</v>
      </c>
      <c r="BK21" s="672">
        <v>2</v>
      </c>
      <c r="BL21" s="16">
        <v>32.479166666666671</v>
      </c>
      <c r="BM21" s="1355">
        <f t="shared" si="1"/>
        <v>77.95</v>
      </c>
      <c r="BN21" s="16">
        <f t="shared" si="0"/>
        <v>77.95</v>
      </c>
      <c r="BO21" s="673"/>
      <c r="BP21" s="674"/>
      <c r="BQ21" s="673">
        <v>77.95</v>
      </c>
      <c r="BR21" s="674"/>
      <c r="BS21" s="674"/>
      <c r="BU21" s="2316"/>
      <c r="BV21" s="752">
        <v>884</v>
      </c>
      <c r="BW21" s="753">
        <v>2</v>
      </c>
      <c r="BX21" s="322">
        <v>-82.559999999999988</v>
      </c>
      <c r="BY21" s="890" t="s">
        <v>859</v>
      </c>
      <c r="BZ21" s="752">
        <v>2</v>
      </c>
      <c r="CA21" s="322">
        <v>-70</v>
      </c>
      <c r="CB21" s="888">
        <f t="shared" ref="CB21:CB42" si="2">+CA21*1.2</f>
        <v>-84</v>
      </c>
      <c r="CC21" s="856"/>
      <c r="CD21" s="856"/>
      <c r="CE21" s="997"/>
      <c r="CF21" s="889"/>
      <c r="CG21" s="889"/>
      <c r="CH21" s="1510"/>
    </row>
    <row r="22" spans="1:86" ht="16" hidden="1" x14ac:dyDescent="0.2">
      <c r="A22" s="274">
        <v>22</v>
      </c>
      <c r="B22" s="1346"/>
      <c r="C22" s="102" t="s">
        <v>267</v>
      </c>
      <c r="D22" s="443" t="s">
        <v>265</v>
      </c>
      <c r="E22" s="444"/>
      <c r="F22" s="445"/>
      <c r="G22" s="444"/>
      <c r="H22" s="445"/>
      <c r="I22" s="446">
        <v>1</v>
      </c>
      <c r="J22" s="447">
        <v>87.91</v>
      </c>
      <c r="K22" s="447"/>
      <c r="L22" s="447">
        <f>+J22*I22</f>
        <v>87.91</v>
      </c>
      <c r="M22" s="447">
        <f>+L22*0.2</f>
        <v>17.582000000000001</v>
      </c>
      <c r="N22" s="1383">
        <f>+M22+L22</f>
        <v>105.49199999999999</v>
      </c>
      <c r="O22" s="457"/>
      <c r="P22" s="64"/>
      <c r="Q22" s="64"/>
      <c r="R22" s="55"/>
      <c r="S22" s="1347"/>
      <c r="T22" s="274">
        <v>9</v>
      </c>
      <c r="U22" s="51"/>
      <c r="V22" s="51"/>
      <c r="W22" s="337"/>
      <c r="X22" s="51"/>
      <c r="Y22" s="51"/>
      <c r="Z22" s="303"/>
      <c r="AA22" s="51"/>
      <c r="AB22" s="448"/>
      <c r="AC22" s="1365"/>
      <c r="AD22" s="443"/>
      <c r="AE22" s="303">
        <v>0</v>
      </c>
      <c r="AF22" s="459">
        <v>9</v>
      </c>
      <c r="AG22" s="441">
        <v>25</v>
      </c>
      <c r="AH22" s="2" t="s">
        <v>436</v>
      </c>
      <c r="AI22" s="2" t="s">
        <v>437</v>
      </c>
      <c r="AJ22" s="460">
        <v>21.16</v>
      </c>
      <c r="AK22" s="460">
        <v>21.16</v>
      </c>
      <c r="AL22" s="460">
        <v>25.39</v>
      </c>
      <c r="AM22" s="2" t="s">
        <v>433</v>
      </c>
      <c r="AO22" s="102"/>
      <c r="AP22" s="443"/>
      <c r="AQ22" s="51"/>
      <c r="AR22" s="449"/>
      <c r="AS22" s="443"/>
      <c r="AT22" s="450"/>
      <c r="AU22" s="303"/>
      <c r="AV22" s="449"/>
      <c r="AW22" s="12"/>
      <c r="AX22" s="1349"/>
      <c r="AY22" s="1349"/>
      <c r="AZ22" s="442"/>
      <c r="BA22" s="303"/>
      <c r="BC22" s="274">
        <v>17</v>
      </c>
      <c r="BD22" s="115"/>
      <c r="BE22" s="1952" t="s">
        <v>259</v>
      </c>
      <c r="BF22" s="1511" t="s">
        <v>787</v>
      </c>
      <c r="BG22" s="1353">
        <v>80.33</v>
      </c>
      <c r="BH22" s="1353">
        <v>80.33</v>
      </c>
      <c r="BI22" s="1354">
        <v>43709</v>
      </c>
      <c r="BJ22" s="55">
        <v>819</v>
      </c>
      <c r="BK22" s="55">
        <v>1</v>
      </c>
      <c r="BL22" s="16">
        <v>80.333333333333343</v>
      </c>
      <c r="BM22" s="1355">
        <f t="shared" si="1"/>
        <v>96.4</v>
      </c>
      <c r="BN22" s="16">
        <f t="shared" si="0"/>
        <v>-96.4</v>
      </c>
      <c r="BO22" s="16"/>
      <c r="BP22" s="1355"/>
      <c r="BQ22" s="16">
        <v>96.4</v>
      </c>
      <c r="BR22" s="1355"/>
      <c r="BS22" s="1355"/>
      <c r="BU22" s="2316"/>
      <c r="BV22" s="752"/>
      <c r="BW22" s="753"/>
      <c r="BX22" s="322"/>
      <c r="BY22" s="890"/>
      <c r="BZ22" s="752"/>
      <c r="CA22" s="322">
        <v>0</v>
      </c>
      <c r="CB22" s="888">
        <f t="shared" si="2"/>
        <v>0</v>
      </c>
      <c r="CC22" s="856"/>
      <c r="CD22" s="856"/>
      <c r="CE22" s="997"/>
      <c r="CF22" s="889"/>
      <c r="CG22" s="889"/>
      <c r="CH22" s="1510"/>
    </row>
    <row r="23" spans="1:86" ht="16" hidden="1" x14ac:dyDescent="0.2">
      <c r="A23" s="1907">
        <v>23</v>
      </c>
      <c r="B23" s="1346"/>
      <c r="C23" s="102" t="s">
        <v>714</v>
      </c>
      <c r="D23" s="443"/>
      <c r="E23" s="444"/>
      <c r="F23" s="445"/>
      <c r="G23" s="444"/>
      <c r="H23" s="445"/>
      <c r="I23" s="446"/>
      <c r="J23" s="447"/>
      <c r="K23" s="447"/>
      <c r="L23" s="447"/>
      <c r="M23" s="447"/>
      <c r="N23" s="1383"/>
      <c r="O23" s="457"/>
      <c r="P23" s="64"/>
      <c r="Q23" s="64"/>
      <c r="R23" s="55"/>
      <c r="S23" s="1347"/>
      <c r="U23" s="51"/>
      <c r="V23" s="51"/>
      <c r="W23" s="337"/>
      <c r="X23" s="51"/>
      <c r="Y23" s="51"/>
      <c r="Z23" s="303"/>
      <c r="AA23" s="51"/>
      <c r="AB23" s="448"/>
      <c r="AC23" s="1365"/>
      <c r="AD23" s="443"/>
      <c r="AE23" s="303"/>
      <c r="AF23" s="459"/>
      <c r="AG23" s="441"/>
      <c r="AJ23" s="460"/>
      <c r="AK23" s="460"/>
      <c r="AL23" s="460"/>
      <c r="AO23" s="102"/>
      <c r="AP23" s="443"/>
      <c r="AQ23" s="51"/>
      <c r="AR23" s="449"/>
      <c r="AS23" s="443"/>
      <c r="AT23" s="450"/>
      <c r="AU23" s="303"/>
      <c r="AV23" s="449"/>
      <c r="AW23" s="12">
        <v>701</v>
      </c>
      <c r="AX23" s="1349">
        <v>43277</v>
      </c>
      <c r="AY23" s="1349" t="s">
        <v>705</v>
      </c>
      <c r="AZ23" s="442">
        <f>-64.96*1.2</f>
        <v>-77.951999999999984</v>
      </c>
      <c r="BA23" s="303"/>
      <c r="BC23" s="109">
        <v>18</v>
      </c>
      <c r="BD23" s="442">
        <v>30.492000000000001</v>
      </c>
      <c r="BE23" s="1942" t="s">
        <v>259</v>
      </c>
      <c r="BF23" s="1511" t="s">
        <v>788</v>
      </c>
      <c r="BG23" s="1353">
        <v>25.94</v>
      </c>
      <c r="BH23" s="1353">
        <v>25.94</v>
      </c>
      <c r="BI23" s="1364">
        <v>43647</v>
      </c>
      <c r="BJ23" s="55">
        <v>797</v>
      </c>
      <c r="BK23" s="55">
        <v>1</v>
      </c>
      <c r="BL23" s="16">
        <v>25.941666666666666</v>
      </c>
      <c r="BM23" s="1355">
        <f t="shared" si="1"/>
        <v>31.13</v>
      </c>
      <c r="BN23" s="2369">
        <v>-63</v>
      </c>
      <c r="BO23" s="783"/>
      <c r="BP23" s="16">
        <v>31.13</v>
      </c>
      <c r="BQ23" s="16"/>
      <c r="BR23" s="16"/>
      <c r="BS23" s="16"/>
      <c r="BU23" s="2316"/>
      <c r="BV23" s="752"/>
      <c r="BW23" s="753"/>
      <c r="BX23" s="322"/>
      <c r="BY23" s="890"/>
      <c r="BZ23" s="752"/>
      <c r="CA23" s="322">
        <v>0</v>
      </c>
      <c r="CB23" s="888">
        <f t="shared" si="2"/>
        <v>0</v>
      </c>
      <c r="CC23" s="856"/>
      <c r="CD23" s="856"/>
      <c r="CE23" s="997"/>
      <c r="CF23" s="889"/>
      <c r="CG23" s="889"/>
      <c r="CH23" s="1510"/>
    </row>
    <row r="24" spans="1:86" ht="16" hidden="1" x14ac:dyDescent="0.2">
      <c r="A24" s="274">
        <v>24</v>
      </c>
      <c r="B24" s="1346"/>
      <c r="C24" s="102" t="s">
        <v>714</v>
      </c>
      <c r="D24" s="443"/>
      <c r="E24" s="444"/>
      <c r="F24" s="445"/>
      <c r="G24" s="444"/>
      <c r="H24" s="445"/>
      <c r="I24" s="446"/>
      <c r="J24" s="447"/>
      <c r="K24" s="447"/>
      <c r="L24" s="447"/>
      <c r="M24" s="447"/>
      <c r="N24" s="1383"/>
      <c r="O24" s="457"/>
      <c r="P24" s="64"/>
      <c r="Q24" s="64"/>
      <c r="R24" s="55"/>
      <c r="S24" s="1347"/>
      <c r="U24" s="51"/>
      <c r="V24" s="51"/>
      <c r="W24" s="337"/>
      <c r="X24" s="51"/>
      <c r="Y24" s="51"/>
      <c r="Z24" s="303"/>
      <c r="AA24" s="51"/>
      <c r="AB24" s="448"/>
      <c r="AC24" s="1365"/>
      <c r="AD24" s="443"/>
      <c r="AE24" s="303"/>
      <c r="AF24" s="459"/>
      <c r="AG24" s="441"/>
      <c r="AJ24" s="460"/>
      <c r="AK24" s="460"/>
      <c r="AL24" s="460"/>
      <c r="AO24" s="102"/>
      <c r="AP24" s="443"/>
      <c r="AQ24" s="51"/>
      <c r="AR24" s="449"/>
      <c r="AS24" s="443"/>
      <c r="AT24" s="450"/>
      <c r="AU24" s="303"/>
      <c r="AV24" s="449"/>
      <c r="AW24" s="12">
        <v>724</v>
      </c>
      <c r="AX24" s="1349">
        <v>43375</v>
      </c>
      <c r="AY24" s="1349" t="s">
        <v>705</v>
      </c>
      <c r="AZ24" s="442">
        <f>-64.96*1.2</f>
        <v>-77.951999999999984</v>
      </c>
      <c r="BA24" s="303"/>
      <c r="BC24" s="274">
        <v>19</v>
      </c>
      <c r="BD24" s="115"/>
      <c r="BE24" s="1952" t="s">
        <v>259</v>
      </c>
      <c r="BF24" s="1511" t="s">
        <v>788</v>
      </c>
      <c r="BG24" s="1353"/>
      <c r="BH24" s="1353"/>
      <c r="BI24" s="1354">
        <v>43709</v>
      </c>
      <c r="BJ24" s="55">
        <v>819</v>
      </c>
      <c r="BK24" s="55">
        <v>1</v>
      </c>
      <c r="BL24" s="16">
        <v>25.941666666666698</v>
      </c>
      <c r="BM24" s="1355">
        <f t="shared" si="1"/>
        <v>31.13</v>
      </c>
      <c r="BN24" s="2403"/>
      <c r="BO24" s="783"/>
      <c r="BP24" s="16"/>
      <c r="BQ24" s="16">
        <v>31.13</v>
      </c>
      <c r="BR24" s="16"/>
      <c r="BS24" s="16"/>
      <c r="BU24" s="2316"/>
      <c r="BV24" s="752"/>
      <c r="BW24" s="753"/>
      <c r="BX24" s="322"/>
      <c r="BY24" s="890"/>
      <c r="BZ24" s="752"/>
      <c r="CA24" s="322">
        <v>0</v>
      </c>
      <c r="CB24" s="888">
        <f t="shared" si="2"/>
        <v>0</v>
      </c>
      <c r="CC24" s="856"/>
      <c r="CD24" s="856"/>
      <c r="CE24" s="997"/>
      <c r="CF24" s="889"/>
      <c r="CG24" s="889"/>
      <c r="CH24" s="1510"/>
    </row>
    <row r="25" spans="1:86" ht="16" hidden="1" x14ac:dyDescent="0.2">
      <c r="A25" s="1907">
        <v>25</v>
      </c>
      <c r="B25" s="1346"/>
      <c r="C25" s="102" t="s">
        <v>273</v>
      </c>
      <c r="D25" s="443" t="s">
        <v>262</v>
      </c>
      <c r="E25" s="444">
        <v>2</v>
      </c>
      <c r="F25" s="445">
        <f>59.8*1.2</f>
        <v>71.759999999999991</v>
      </c>
      <c r="G25" s="444">
        <v>2</v>
      </c>
      <c r="H25" s="445">
        <f>59.8*1.2</f>
        <v>71.759999999999991</v>
      </c>
      <c r="I25" s="446">
        <v>2</v>
      </c>
      <c r="J25" s="447">
        <v>32.92</v>
      </c>
      <c r="K25" s="447"/>
      <c r="L25" s="447">
        <f>+J25*I25</f>
        <v>65.84</v>
      </c>
      <c r="M25" s="447">
        <f>+L25*0.2</f>
        <v>13.168000000000001</v>
      </c>
      <c r="N25" s="1383">
        <f>+M25+L25</f>
        <v>79.00800000000001</v>
      </c>
      <c r="O25" s="457"/>
      <c r="P25" s="64"/>
      <c r="Q25" s="64"/>
      <c r="R25" s="55"/>
      <c r="S25" s="1347"/>
      <c r="T25" s="274">
        <v>12</v>
      </c>
      <c r="U25" s="51" t="s">
        <v>274</v>
      </c>
      <c r="V25" s="51"/>
      <c r="W25" s="449">
        <v>27.88</v>
      </c>
      <c r="X25" s="51">
        <v>2</v>
      </c>
      <c r="Y25" s="447">
        <f>+X25*W25</f>
        <v>55.76</v>
      </c>
      <c r="Z25" s="303">
        <f>-Y25*1.2</f>
        <v>-66.911999999999992</v>
      </c>
      <c r="AA25" s="51">
        <v>544</v>
      </c>
      <c r="AB25" s="448">
        <f>+W25/J25-1</f>
        <v>-0.15309842041312283</v>
      </c>
      <c r="AC25" s="1348"/>
      <c r="AD25" s="443" t="s">
        <v>449</v>
      </c>
      <c r="AE25" s="303">
        <v>-67</v>
      </c>
      <c r="AF25" s="459"/>
      <c r="AG25" s="441"/>
      <c r="AJ25" s="460"/>
      <c r="AK25" s="460"/>
      <c r="AL25" s="460"/>
      <c r="AN25" s="2">
        <v>7</v>
      </c>
      <c r="AO25" s="102" t="s">
        <v>273</v>
      </c>
      <c r="AP25" s="443" t="s">
        <v>262</v>
      </c>
      <c r="AQ25" s="51">
        <v>2</v>
      </c>
      <c r="AR25" s="449">
        <v>66.911999999999992</v>
      </c>
      <c r="AS25" s="443" t="s">
        <v>449</v>
      </c>
      <c r="AT25" s="450">
        <v>67</v>
      </c>
      <c r="AU25" s="303">
        <f>-55.76*1.2</f>
        <v>-66.911999999999992</v>
      </c>
      <c r="AV25" s="449">
        <v>1614.8719999999998</v>
      </c>
      <c r="AW25" s="12"/>
      <c r="AX25" s="1349"/>
      <c r="AY25" s="1349"/>
      <c r="AZ25" s="442"/>
      <c r="BA25" s="303"/>
      <c r="BC25" s="109">
        <v>20</v>
      </c>
      <c r="BD25" s="115"/>
      <c r="BE25" s="1942" t="s">
        <v>259</v>
      </c>
      <c r="BF25" s="1511" t="s">
        <v>788</v>
      </c>
      <c r="BG25" s="1353"/>
      <c r="BH25" s="1353"/>
      <c r="BI25" s="1364">
        <v>43770</v>
      </c>
      <c r="BJ25" s="55">
        <v>831</v>
      </c>
      <c r="BK25" s="55">
        <v>1</v>
      </c>
      <c r="BL25" s="16">
        <v>25.941666666666666</v>
      </c>
      <c r="BM25" s="1355">
        <f t="shared" si="1"/>
        <v>31.13</v>
      </c>
      <c r="BN25" s="2370"/>
      <c r="BO25" s="783"/>
      <c r="BP25" s="16"/>
      <c r="BQ25" s="16"/>
      <c r="BR25" s="16">
        <v>31.13</v>
      </c>
      <c r="BS25" s="16"/>
      <c r="BU25" s="2316"/>
      <c r="BV25" s="752"/>
      <c r="BW25" s="753"/>
      <c r="BX25" s="322"/>
      <c r="BY25" s="890"/>
      <c r="BZ25" s="752"/>
      <c r="CA25" s="322">
        <v>0</v>
      </c>
      <c r="CB25" s="888">
        <f t="shared" si="2"/>
        <v>0</v>
      </c>
      <c r="CC25" s="856"/>
      <c r="CD25" s="856"/>
      <c r="CE25" s="997"/>
      <c r="CF25" s="889"/>
      <c r="CG25" s="889"/>
      <c r="CH25" s="1510"/>
    </row>
    <row r="26" spans="1:86" ht="16" hidden="1" x14ac:dyDescent="0.2">
      <c r="A26" s="274">
        <v>26</v>
      </c>
      <c r="B26" s="1346"/>
      <c r="C26" s="102" t="s">
        <v>291</v>
      </c>
      <c r="D26" s="443" t="s">
        <v>262</v>
      </c>
      <c r="E26" s="444">
        <v>2</v>
      </c>
      <c r="F26" s="445">
        <f>62.9*1.2</f>
        <v>75.47999999999999</v>
      </c>
      <c r="G26" s="444">
        <v>2</v>
      </c>
      <c r="H26" s="445">
        <f>62.9*1.2</f>
        <v>75.47999999999999</v>
      </c>
      <c r="I26" s="446">
        <v>2</v>
      </c>
      <c r="J26" s="447">
        <v>32.86</v>
      </c>
      <c r="K26" s="447"/>
      <c r="L26" s="447">
        <f>+J26*I26</f>
        <v>65.72</v>
      </c>
      <c r="M26" s="447">
        <f>+L26*0.2</f>
        <v>13.144</v>
      </c>
      <c r="N26" s="1383">
        <f>+M26+L26</f>
        <v>78.864000000000004</v>
      </c>
      <c r="O26" s="457"/>
      <c r="P26" s="64"/>
      <c r="Q26" s="64"/>
      <c r="R26" s="55"/>
      <c r="S26" s="1347"/>
      <c r="T26" s="274">
        <v>24</v>
      </c>
      <c r="U26" s="51" t="s">
        <v>292</v>
      </c>
      <c r="V26" s="51"/>
      <c r="W26" s="449">
        <v>33.51</v>
      </c>
      <c r="X26" s="51">
        <v>2</v>
      </c>
      <c r="Y26" s="447">
        <f>+X26*W26</f>
        <v>67.02</v>
      </c>
      <c r="Z26" s="303">
        <f>-Y26*1.2</f>
        <v>-80.423999999999992</v>
      </c>
      <c r="AA26" s="51">
        <v>544</v>
      </c>
      <c r="AB26" s="448">
        <f>+W26/J26-1</f>
        <v>1.978088861838101E-2</v>
      </c>
      <c r="AC26" s="1348"/>
      <c r="AD26" s="443" t="s">
        <v>449</v>
      </c>
      <c r="AE26" s="303">
        <v>-80</v>
      </c>
      <c r="AF26" s="459">
        <v>10</v>
      </c>
      <c r="AG26" s="441">
        <v>245</v>
      </c>
      <c r="AH26" s="2" t="s">
        <v>438</v>
      </c>
      <c r="AI26" s="2" t="s">
        <v>439</v>
      </c>
      <c r="AJ26" s="460">
        <v>67.930000000000007</v>
      </c>
      <c r="AK26" s="460">
        <v>203.79</v>
      </c>
      <c r="AL26" s="460">
        <v>244.55</v>
      </c>
      <c r="AM26" s="2" t="s">
        <v>380</v>
      </c>
      <c r="AN26" s="2">
        <v>15</v>
      </c>
      <c r="AO26" s="102" t="s">
        <v>291</v>
      </c>
      <c r="AP26" s="443" t="s">
        <v>262</v>
      </c>
      <c r="AQ26" s="51">
        <v>2</v>
      </c>
      <c r="AR26" s="449">
        <v>80.423999999999992</v>
      </c>
      <c r="AS26" s="443" t="s">
        <v>449</v>
      </c>
      <c r="AT26" s="450">
        <v>80</v>
      </c>
      <c r="AU26" s="303"/>
      <c r="AV26" s="449"/>
      <c r="AW26" s="12">
        <v>724</v>
      </c>
      <c r="AX26" s="1349">
        <v>43375</v>
      </c>
      <c r="AY26" s="1349" t="s">
        <v>705</v>
      </c>
      <c r="AZ26" s="442">
        <f>-67.76*1.2</f>
        <v>-81.311999999999998</v>
      </c>
      <c r="BA26" s="303"/>
      <c r="BC26" s="274">
        <v>21</v>
      </c>
      <c r="BD26" s="442">
        <v>84</v>
      </c>
      <c r="BE26" s="1942" t="s">
        <v>265</v>
      </c>
      <c r="BF26" s="1511" t="s">
        <v>789</v>
      </c>
      <c r="BG26" s="1353">
        <v>70</v>
      </c>
      <c r="BH26" s="1353">
        <v>70</v>
      </c>
      <c r="BI26" s="1354">
        <v>43709</v>
      </c>
      <c r="BJ26" s="55">
        <v>819</v>
      </c>
      <c r="BK26" s="55">
        <v>1</v>
      </c>
      <c r="BL26" s="16">
        <v>70</v>
      </c>
      <c r="BM26" s="1355">
        <f t="shared" si="1"/>
        <v>84</v>
      </c>
      <c r="BN26" s="16">
        <f t="shared" si="0"/>
        <v>0</v>
      </c>
      <c r="BO26" s="16"/>
      <c r="BP26" s="1355"/>
      <c r="BQ26" s="16">
        <v>84</v>
      </c>
      <c r="BR26" s="1355"/>
      <c r="BS26" s="1355"/>
      <c r="BU26" s="2316"/>
      <c r="BV26" s="752"/>
      <c r="BW26" s="753"/>
      <c r="BX26" s="322"/>
      <c r="BY26" s="890"/>
      <c r="BZ26" s="752"/>
      <c r="CA26" s="322">
        <v>0</v>
      </c>
      <c r="CB26" s="888">
        <f t="shared" si="2"/>
        <v>0</v>
      </c>
      <c r="CC26" s="856"/>
      <c r="CD26" s="856"/>
      <c r="CE26" s="997"/>
      <c r="CF26" s="889"/>
      <c r="CG26" s="889"/>
      <c r="CH26" s="1510"/>
    </row>
    <row r="27" spans="1:86" ht="16" hidden="1" x14ac:dyDescent="0.2">
      <c r="A27" s="1907">
        <v>27</v>
      </c>
      <c r="B27" s="1346"/>
      <c r="C27" s="102" t="s">
        <v>293</v>
      </c>
      <c r="D27" s="443" t="s">
        <v>262</v>
      </c>
      <c r="E27" s="444">
        <v>2</v>
      </c>
      <c r="F27" s="445">
        <f>96*1.2</f>
        <v>115.19999999999999</v>
      </c>
      <c r="G27" s="444"/>
      <c r="H27" s="445"/>
      <c r="I27" s="446">
        <v>2</v>
      </c>
      <c r="J27" s="447">
        <v>63.25</v>
      </c>
      <c r="K27" s="447">
        <f>+J27*0.8</f>
        <v>50.6</v>
      </c>
      <c r="L27" s="447">
        <f>+K27*I27</f>
        <v>101.2</v>
      </c>
      <c r="M27" s="447">
        <f>+L27*0.2</f>
        <v>20.240000000000002</v>
      </c>
      <c r="N27" s="1383">
        <f>+M27+L27</f>
        <v>121.44</v>
      </c>
      <c r="O27" s="457">
        <f>SUM(N27:N28)</f>
        <v>121.44</v>
      </c>
      <c r="P27" s="64">
        <v>490</v>
      </c>
      <c r="Q27" s="1375">
        <v>42339</v>
      </c>
      <c r="R27" s="55"/>
      <c r="S27" s="1347"/>
      <c r="T27" s="274">
        <v>26</v>
      </c>
      <c r="U27" s="51" t="s">
        <v>294</v>
      </c>
      <c r="V27" s="51"/>
      <c r="W27" s="449">
        <v>53.76</v>
      </c>
      <c r="X27" s="51">
        <v>2</v>
      </c>
      <c r="Y27" s="447">
        <f>+X27*W27</f>
        <v>107.52</v>
      </c>
      <c r="Z27" s="303">
        <f>-Y27*1.2</f>
        <v>-129.024</v>
      </c>
      <c r="AA27" s="51">
        <v>544</v>
      </c>
      <c r="AB27" s="455">
        <f>+W27/J27-1</f>
        <v>-0.15003952569169965</v>
      </c>
      <c r="AC27" s="1348" t="s">
        <v>257</v>
      </c>
      <c r="AD27" s="443" t="s">
        <v>449</v>
      </c>
      <c r="AE27" s="303">
        <v>-129</v>
      </c>
      <c r="AF27" s="459"/>
      <c r="AG27" s="441"/>
      <c r="AJ27" s="460"/>
      <c r="AK27" s="460"/>
      <c r="AL27" s="460"/>
      <c r="AN27" s="2">
        <v>16</v>
      </c>
      <c r="AO27" s="102" t="s">
        <v>293</v>
      </c>
      <c r="AP27" s="443" t="s">
        <v>262</v>
      </c>
      <c r="AQ27" s="51">
        <v>2</v>
      </c>
      <c r="AR27" s="449">
        <v>129.024</v>
      </c>
      <c r="AS27" s="443" t="s">
        <v>449</v>
      </c>
      <c r="AT27" s="450">
        <v>129</v>
      </c>
      <c r="AU27" s="303"/>
      <c r="AV27" s="449"/>
      <c r="AW27" s="12"/>
      <c r="AX27" s="1349"/>
      <c r="AY27" s="1349"/>
      <c r="AZ27" s="442"/>
      <c r="BA27" s="303"/>
      <c r="BC27" s="109">
        <v>22</v>
      </c>
      <c r="BD27" s="442">
        <v>236.77199999999999</v>
      </c>
      <c r="BE27" s="1942" t="s">
        <v>265</v>
      </c>
      <c r="BF27" s="1511" t="s">
        <v>264</v>
      </c>
      <c r="BG27" s="1166">
        <v>197.31</v>
      </c>
      <c r="BH27" s="1166">
        <f>+BG27*2</f>
        <v>394.62</v>
      </c>
      <c r="BI27" s="1354">
        <v>43709</v>
      </c>
      <c r="BJ27" s="55">
        <v>819</v>
      </c>
      <c r="BK27" s="55">
        <v>1</v>
      </c>
      <c r="BL27" s="16">
        <v>197.30833333333334</v>
      </c>
      <c r="BM27" s="1355">
        <f t="shared" si="1"/>
        <v>236.77</v>
      </c>
      <c r="BN27" s="2369">
        <v>-237</v>
      </c>
      <c r="BO27" s="16"/>
      <c r="BP27" s="1355"/>
      <c r="BQ27" s="16">
        <v>236.77</v>
      </c>
      <c r="BR27" s="1355"/>
      <c r="BS27" s="1355"/>
      <c r="BU27" s="2316"/>
      <c r="BV27" s="752">
        <v>884</v>
      </c>
      <c r="BW27" s="753">
        <v>1</v>
      </c>
      <c r="BX27" s="322">
        <v>-248.196</v>
      </c>
      <c r="BY27" s="890" t="s">
        <v>859</v>
      </c>
      <c r="BZ27" s="752">
        <v>1</v>
      </c>
      <c r="CA27" s="322">
        <v>-207.27</v>
      </c>
      <c r="CB27" s="888">
        <f t="shared" si="2"/>
        <v>-248.72399999999999</v>
      </c>
      <c r="CC27" s="856"/>
      <c r="CD27" s="856"/>
      <c r="CE27" s="997"/>
      <c r="CF27" s="889"/>
      <c r="CG27" s="889"/>
      <c r="CH27" s="1510"/>
    </row>
    <row r="28" spans="1:86" ht="16" hidden="1" x14ac:dyDescent="0.2">
      <c r="A28" s="274">
        <v>28</v>
      </c>
      <c r="B28" s="1374"/>
      <c r="C28" s="102" t="s">
        <v>391</v>
      </c>
      <c r="D28" s="443"/>
      <c r="E28" s="444"/>
      <c r="F28" s="445">
        <v>29.98</v>
      </c>
      <c r="G28" s="444"/>
      <c r="H28" s="445">
        <v>35</v>
      </c>
      <c r="I28" s="446"/>
      <c r="J28" s="454"/>
      <c r="K28" s="447"/>
      <c r="L28" s="454"/>
      <c r="M28" s="454"/>
      <c r="N28" s="1940"/>
      <c r="O28" s="1941"/>
      <c r="P28" s="64"/>
      <c r="Q28" s="64"/>
      <c r="R28" s="65"/>
      <c r="S28" s="1347"/>
      <c r="U28" s="51"/>
      <c r="V28" s="51"/>
      <c r="W28" s="449"/>
      <c r="X28" s="51"/>
      <c r="Y28" s="447"/>
      <c r="Z28" s="303"/>
      <c r="AA28" s="51"/>
      <c r="AB28" s="448"/>
      <c r="AC28" s="1348"/>
      <c r="AD28" s="443"/>
      <c r="AE28" s="303">
        <v>0</v>
      </c>
      <c r="AF28" s="459">
        <v>20</v>
      </c>
      <c r="AG28" s="441">
        <v>128</v>
      </c>
      <c r="AH28" s="1683" t="s">
        <v>450</v>
      </c>
      <c r="AI28" s="2" t="s">
        <v>451</v>
      </c>
      <c r="AJ28" s="460">
        <v>127.51</v>
      </c>
      <c r="AK28" s="460">
        <v>127.51</v>
      </c>
      <c r="AL28" s="460">
        <v>127.51</v>
      </c>
      <c r="AM28" s="2" t="s">
        <v>380</v>
      </c>
      <c r="AO28" s="102"/>
      <c r="AP28" s="443"/>
      <c r="AQ28" s="51"/>
      <c r="AR28" s="449"/>
      <c r="AS28" s="443"/>
      <c r="AT28" s="450"/>
      <c r="AU28" s="303"/>
      <c r="AV28" s="449"/>
      <c r="AW28" s="12"/>
      <c r="AX28" s="1349"/>
      <c r="AY28" s="1349"/>
      <c r="AZ28" s="442"/>
      <c r="BA28" s="303"/>
      <c r="BC28" s="274">
        <v>23</v>
      </c>
      <c r="BD28" s="115"/>
      <c r="BE28" s="1942" t="s">
        <v>265</v>
      </c>
      <c r="BF28" s="1511" t="s">
        <v>264</v>
      </c>
      <c r="BG28" s="1166"/>
      <c r="BH28" s="1166"/>
      <c r="BI28" s="1354">
        <v>43709</v>
      </c>
      <c r="BJ28" s="55">
        <v>819</v>
      </c>
      <c r="BK28" s="55">
        <v>1</v>
      </c>
      <c r="BL28" s="16">
        <v>197.30833333333334</v>
      </c>
      <c r="BM28" s="1355">
        <f t="shared" si="1"/>
        <v>236.77</v>
      </c>
      <c r="BN28" s="2370"/>
      <c r="BO28" s="16"/>
      <c r="BP28" s="1355"/>
      <c r="BQ28" s="16">
        <v>236.77</v>
      </c>
      <c r="BR28" s="1355"/>
      <c r="BS28" s="1355"/>
      <c r="BU28" s="2316"/>
      <c r="BV28" s="752"/>
      <c r="BW28" s="753"/>
      <c r="BX28" s="322"/>
      <c r="BY28" s="890"/>
      <c r="BZ28" s="752"/>
      <c r="CA28" s="322">
        <v>0</v>
      </c>
      <c r="CB28" s="888">
        <f t="shared" si="2"/>
        <v>0</v>
      </c>
      <c r="CC28" s="856"/>
      <c r="CD28" s="856"/>
      <c r="CE28" s="997"/>
      <c r="CF28" s="889"/>
      <c r="CG28" s="889"/>
      <c r="CH28" s="1510"/>
    </row>
    <row r="29" spans="1:86" ht="16" hidden="1" x14ac:dyDescent="0.2">
      <c r="A29" s="1907">
        <v>29</v>
      </c>
      <c r="B29" s="1346"/>
      <c r="C29" s="102" t="s">
        <v>275</v>
      </c>
      <c r="D29" s="443" t="s">
        <v>269</v>
      </c>
      <c r="E29" s="444"/>
      <c r="F29" s="445"/>
      <c r="G29" s="444">
        <v>2</v>
      </c>
      <c r="H29" s="445">
        <f>44*1.2</f>
        <v>52.8</v>
      </c>
      <c r="I29" s="446">
        <v>1</v>
      </c>
      <c r="J29" s="447">
        <v>22.12</v>
      </c>
      <c r="K29" s="447"/>
      <c r="L29" s="447">
        <f>+J29*I29</f>
        <v>22.12</v>
      </c>
      <c r="M29" s="447">
        <f>+L29*0.2</f>
        <v>4.4240000000000004</v>
      </c>
      <c r="N29" s="1383">
        <f>+M29+L29</f>
        <v>26.544</v>
      </c>
      <c r="O29" s="457"/>
      <c r="P29" s="64"/>
      <c r="Q29" s="64"/>
      <c r="R29" s="1362" t="s">
        <v>276</v>
      </c>
      <c r="S29" s="1347"/>
      <c r="T29" s="274">
        <v>14</v>
      </c>
      <c r="U29" s="51"/>
      <c r="V29" s="51"/>
      <c r="W29" s="337"/>
      <c r="X29" s="51"/>
      <c r="Y29" s="51"/>
      <c r="Z29" s="303"/>
      <c r="AA29" s="51"/>
      <c r="AB29" s="448"/>
      <c r="AC29" s="1365"/>
      <c r="AD29" s="443"/>
      <c r="AE29" s="303">
        <v>0</v>
      </c>
      <c r="AF29" s="459"/>
      <c r="AG29" s="441"/>
      <c r="AH29" s="1683"/>
      <c r="AJ29" s="460"/>
      <c r="AK29" s="460"/>
      <c r="AL29" s="460"/>
      <c r="AO29" s="102"/>
      <c r="AP29" s="443"/>
      <c r="AQ29" s="51"/>
      <c r="AR29" s="449"/>
      <c r="AS29" s="443"/>
      <c r="AT29" s="450"/>
      <c r="AU29" s="303"/>
      <c r="AV29" s="449"/>
      <c r="AW29" s="12"/>
      <c r="AX29" s="1349"/>
      <c r="AY29" s="1349"/>
      <c r="AZ29" s="442"/>
      <c r="BA29" s="303"/>
      <c r="BC29" s="109">
        <v>24</v>
      </c>
      <c r="BD29" s="442">
        <v>155.928</v>
      </c>
      <c r="BE29" s="1942" t="s">
        <v>255</v>
      </c>
      <c r="BF29" s="1511" t="s">
        <v>790</v>
      </c>
      <c r="BG29" s="1353">
        <v>64.97</v>
      </c>
      <c r="BH29" s="1353">
        <f>+BG29*2</f>
        <v>129.94</v>
      </c>
      <c r="BI29" s="1354">
        <v>43709</v>
      </c>
      <c r="BJ29" s="55">
        <v>819</v>
      </c>
      <c r="BK29" s="55">
        <v>2</v>
      </c>
      <c r="BL29" s="16">
        <v>64.970833333333346</v>
      </c>
      <c r="BM29" s="1355">
        <f t="shared" si="1"/>
        <v>155.93</v>
      </c>
      <c r="BN29" s="16">
        <f t="shared" si="0"/>
        <v>-2.0000000000095497E-3</v>
      </c>
      <c r="BO29" s="16"/>
      <c r="BP29" s="1355"/>
      <c r="BQ29" s="16">
        <v>155.93</v>
      </c>
      <c r="BR29" s="1355"/>
      <c r="BS29" s="1355"/>
      <c r="BU29" s="2316"/>
      <c r="BV29" s="752">
        <v>884</v>
      </c>
      <c r="BW29" s="753">
        <v>1</v>
      </c>
      <c r="BX29" s="322">
        <v>-79.103999999999999</v>
      </c>
      <c r="BY29" s="890" t="s">
        <v>859</v>
      </c>
      <c r="BZ29" s="752">
        <v>1</v>
      </c>
      <c r="CA29" s="322">
        <v>-70.5</v>
      </c>
      <c r="CB29" s="888">
        <f t="shared" si="2"/>
        <v>-84.6</v>
      </c>
      <c r="CC29" s="856"/>
      <c r="CD29" s="856"/>
      <c r="CE29" s="997"/>
      <c r="CF29" s="889"/>
      <c r="CG29" s="889"/>
      <c r="CH29" s="1510"/>
    </row>
    <row r="30" spans="1:86" ht="16" hidden="1" x14ac:dyDescent="0.2">
      <c r="A30" s="274">
        <v>30</v>
      </c>
      <c r="B30" s="1346"/>
      <c r="C30" s="102" t="s">
        <v>275</v>
      </c>
      <c r="D30" s="443" t="s">
        <v>269</v>
      </c>
      <c r="E30" s="444"/>
      <c r="F30" s="445"/>
      <c r="G30" s="444"/>
      <c r="H30" s="445"/>
      <c r="I30" s="446">
        <v>1</v>
      </c>
      <c r="J30" s="454">
        <v>-22.12</v>
      </c>
      <c r="K30" s="454"/>
      <c r="L30" s="454">
        <f>+J30*I30</f>
        <v>-22.12</v>
      </c>
      <c r="M30" s="454">
        <f>+L30*0.2</f>
        <v>-4.4240000000000004</v>
      </c>
      <c r="N30" s="1940">
        <f>+M30+L30</f>
        <v>-26.544</v>
      </c>
      <c r="O30" s="457"/>
      <c r="P30" s="64"/>
      <c r="Q30" s="64"/>
      <c r="R30" s="55"/>
      <c r="S30" s="1347"/>
      <c r="T30" s="274">
        <v>15</v>
      </c>
      <c r="U30" s="51"/>
      <c r="V30" s="51"/>
      <c r="W30" s="337"/>
      <c r="X30" s="51"/>
      <c r="Y30" s="51"/>
      <c r="Z30" s="303"/>
      <c r="AA30" s="51"/>
      <c r="AB30" s="448"/>
      <c r="AC30" s="1365"/>
      <c r="AD30" s="443"/>
      <c r="AE30" s="303">
        <v>0</v>
      </c>
      <c r="AF30" s="459">
        <v>24</v>
      </c>
      <c r="AG30" s="441">
        <v>78</v>
      </c>
      <c r="AH30" s="2" t="s">
        <v>468</v>
      </c>
      <c r="AI30" s="2" t="s">
        <v>467</v>
      </c>
      <c r="AJ30" s="460">
        <v>64.97</v>
      </c>
      <c r="AK30" s="460">
        <f>+AJ30*2</f>
        <v>129.94</v>
      </c>
      <c r="AL30" s="460">
        <f>+AK30*1.2</f>
        <v>155.928</v>
      </c>
      <c r="AM30" s="2" t="s">
        <v>455</v>
      </c>
      <c r="AO30" s="102"/>
      <c r="AP30" s="443"/>
      <c r="AQ30" s="51"/>
      <c r="AR30" s="449"/>
      <c r="AS30" s="443"/>
      <c r="AT30" s="450"/>
      <c r="AU30" s="303"/>
      <c r="AV30" s="449"/>
      <c r="AW30" s="12"/>
      <c r="AX30" s="1349"/>
      <c r="AY30" s="1349"/>
      <c r="AZ30" s="442"/>
      <c r="BA30" s="303"/>
      <c r="BC30" s="274">
        <v>25</v>
      </c>
      <c r="BD30" s="442">
        <v>306</v>
      </c>
      <c r="BE30" s="1942" t="s">
        <v>253</v>
      </c>
      <c r="BF30" s="1514" t="s">
        <v>434</v>
      </c>
      <c r="BG30" s="675"/>
      <c r="BH30" s="675"/>
      <c r="BI30" s="1364">
        <v>43497</v>
      </c>
      <c r="BJ30" s="55">
        <v>754</v>
      </c>
      <c r="BK30" s="55">
        <v>1</v>
      </c>
      <c r="BL30" s="16">
        <v>260</v>
      </c>
      <c r="BM30" s="1355">
        <v>312</v>
      </c>
      <c r="BN30" s="16">
        <f t="shared" si="0"/>
        <v>-6</v>
      </c>
      <c r="BO30" s="16">
        <f>1040*1.2</f>
        <v>1248</v>
      </c>
      <c r="BP30" s="1355"/>
      <c r="BQ30" s="16"/>
      <c r="BR30" s="1355"/>
      <c r="BS30" s="1355"/>
      <c r="BU30" s="2316"/>
      <c r="BV30" s="752"/>
      <c r="BW30" s="753"/>
      <c r="BX30" s="322"/>
      <c r="BY30" s="890"/>
      <c r="BZ30" s="752"/>
      <c r="CA30" s="322">
        <v>0</v>
      </c>
      <c r="CB30" s="888">
        <f t="shared" si="2"/>
        <v>0</v>
      </c>
      <c r="CC30" s="856"/>
      <c r="CD30" s="856"/>
      <c r="CE30" s="997"/>
      <c r="CF30" s="889"/>
      <c r="CG30" s="889"/>
      <c r="CH30" s="1510"/>
    </row>
    <row r="31" spans="1:86" ht="16" hidden="1" x14ac:dyDescent="0.2">
      <c r="A31" s="1907">
        <v>31</v>
      </c>
      <c r="B31" s="1346"/>
      <c r="C31" s="102" t="s">
        <v>722</v>
      </c>
      <c r="D31" s="443" t="s">
        <v>253</v>
      </c>
      <c r="E31" s="444">
        <v>1</v>
      </c>
      <c r="F31" s="445">
        <f>252.28*1.2</f>
        <v>302.73599999999999</v>
      </c>
      <c r="G31" s="444">
        <v>1</v>
      </c>
      <c r="H31" s="456">
        <v>302.27999999999997</v>
      </c>
      <c r="I31" s="446">
        <v>1</v>
      </c>
      <c r="J31" s="447">
        <v>250.88</v>
      </c>
      <c r="K31" s="447"/>
      <c r="L31" s="447">
        <f>+J31*I31</f>
        <v>250.88</v>
      </c>
      <c r="M31" s="447">
        <f>+L31*0.2</f>
        <v>50.176000000000002</v>
      </c>
      <c r="N31" s="1383">
        <f>+M31+L31</f>
        <v>301.05599999999998</v>
      </c>
      <c r="O31" s="457"/>
      <c r="P31" s="64"/>
      <c r="Q31" s="64"/>
      <c r="R31" s="55"/>
      <c r="S31" s="1347"/>
      <c r="T31" s="274">
        <v>20</v>
      </c>
      <c r="U31" s="51"/>
      <c r="V31" s="51"/>
      <c r="W31" s="337"/>
      <c r="X31" s="51"/>
      <c r="Y31" s="51"/>
      <c r="Z31" s="303"/>
      <c r="AA31" s="51"/>
      <c r="AB31" s="448"/>
      <c r="AC31" s="1365"/>
      <c r="AD31" s="443"/>
      <c r="AE31" s="303">
        <v>0</v>
      </c>
      <c r="AF31" s="459">
        <v>33</v>
      </c>
      <c r="AG31" s="441">
        <v>359</v>
      </c>
      <c r="AH31" s="2" t="s">
        <v>462</v>
      </c>
      <c r="AI31" s="2" t="s">
        <v>463</v>
      </c>
      <c r="AJ31" s="460">
        <v>741.6</v>
      </c>
      <c r="AK31" s="460">
        <v>741.6</v>
      </c>
      <c r="AL31" s="460">
        <f>+AK31*1.2</f>
        <v>889.92</v>
      </c>
      <c r="AM31" s="2" t="s">
        <v>433</v>
      </c>
      <c r="AO31" s="102"/>
      <c r="AP31" s="443"/>
      <c r="AQ31" s="51"/>
      <c r="AR31" s="449"/>
      <c r="AS31" s="443"/>
      <c r="AT31" s="450"/>
      <c r="AU31" s="303"/>
      <c r="AV31" s="449"/>
      <c r="AW31" s="12">
        <v>724</v>
      </c>
      <c r="AX31" s="1349">
        <v>43375</v>
      </c>
      <c r="AY31" s="1349" t="s">
        <v>715</v>
      </c>
      <c r="AZ31" s="442">
        <f>-255*1.2</f>
        <v>-306</v>
      </c>
      <c r="BA31" s="303"/>
      <c r="BC31" s="109">
        <v>26</v>
      </c>
      <c r="BD31" s="115"/>
      <c r="BE31" s="1952" t="s">
        <v>262</v>
      </c>
      <c r="BF31" s="1514" t="s">
        <v>791</v>
      </c>
      <c r="BG31" s="675"/>
      <c r="BH31" s="675"/>
      <c r="BI31" s="1364">
        <v>43497</v>
      </c>
      <c r="BJ31" s="55">
        <v>754</v>
      </c>
      <c r="BK31" s="55">
        <v>1</v>
      </c>
      <c r="BL31" s="16">
        <v>95</v>
      </c>
      <c r="BM31" s="1355">
        <f t="shared" si="1"/>
        <v>95</v>
      </c>
      <c r="BN31" s="16">
        <f t="shared" si="0"/>
        <v>-95</v>
      </c>
      <c r="BO31" s="16">
        <v>95</v>
      </c>
      <c r="BP31" s="1355"/>
      <c r="BQ31" s="16"/>
      <c r="BR31" s="1355"/>
      <c r="BS31" s="1355"/>
      <c r="BU31" s="2316"/>
      <c r="BV31" s="752"/>
      <c r="BW31" s="753"/>
      <c r="BX31" s="322"/>
      <c r="BY31" s="890"/>
      <c r="BZ31" s="752"/>
      <c r="CA31" s="322">
        <v>0</v>
      </c>
      <c r="CB31" s="888">
        <f t="shared" si="2"/>
        <v>0</v>
      </c>
      <c r="CC31" s="856"/>
      <c r="CD31" s="856"/>
      <c r="CE31" s="997"/>
      <c r="CF31" s="889"/>
      <c r="CG31" s="889"/>
      <c r="CH31" s="1510"/>
    </row>
    <row r="32" spans="1:86" ht="16" hidden="1" x14ac:dyDescent="0.2">
      <c r="A32" s="274">
        <v>32</v>
      </c>
      <c r="B32" s="1346"/>
      <c r="C32" s="102" t="s">
        <v>548</v>
      </c>
      <c r="D32" s="443"/>
      <c r="E32" s="444"/>
      <c r="F32" s="445"/>
      <c r="G32" s="444"/>
      <c r="H32" s="445"/>
      <c r="I32" s="446"/>
      <c r="J32" s="454"/>
      <c r="K32" s="447"/>
      <c r="L32" s="454"/>
      <c r="M32" s="454"/>
      <c r="N32" s="1940"/>
      <c r="O32" s="1941"/>
      <c r="P32" s="64"/>
      <c r="Q32" s="64"/>
      <c r="R32" s="55"/>
      <c r="S32" s="1347"/>
      <c r="U32" s="51"/>
      <c r="V32" s="51"/>
      <c r="W32" s="449"/>
      <c r="X32" s="51"/>
      <c r="Y32" s="447"/>
      <c r="Z32" s="303"/>
      <c r="AA32" s="51"/>
      <c r="AB32" s="448"/>
      <c r="AC32" s="1348"/>
      <c r="AD32" s="443"/>
      <c r="AE32" s="303">
        <v>0</v>
      </c>
      <c r="AF32" s="459"/>
      <c r="AG32" s="441"/>
      <c r="AJ32" s="460"/>
      <c r="AK32" s="460"/>
      <c r="AL32" s="460"/>
      <c r="AN32" s="2">
        <v>21</v>
      </c>
      <c r="AO32" s="102" t="s">
        <v>548</v>
      </c>
      <c r="AP32" s="443"/>
      <c r="AQ32" s="51"/>
      <c r="AR32" s="449"/>
      <c r="AS32" s="443"/>
      <c r="AT32" s="450"/>
      <c r="AU32" s="303">
        <v>-51.79</v>
      </c>
      <c r="AV32" s="449">
        <v>1071.67</v>
      </c>
      <c r="AW32" s="12"/>
      <c r="AX32" s="1349"/>
      <c r="AY32" s="1349"/>
      <c r="AZ32" s="442"/>
      <c r="BA32" s="303"/>
      <c r="BC32" s="274">
        <v>27</v>
      </c>
      <c r="BD32" s="115"/>
      <c r="BE32" s="1952" t="s">
        <v>288</v>
      </c>
      <c r="BF32" s="1514" t="s">
        <v>287</v>
      </c>
      <c r="BG32" s="675"/>
      <c r="BH32" s="675"/>
      <c r="BI32" s="1364">
        <v>43647</v>
      </c>
      <c r="BJ32" s="55">
        <v>797</v>
      </c>
      <c r="BK32" s="55">
        <v>1</v>
      </c>
      <c r="BL32" s="16">
        <v>31.950000000000003</v>
      </c>
      <c r="BM32" s="1355">
        <f t="shared" si="1"/>
        <v>38.340000000000003</v>
      </c>
      <c r="BN32" s="16">
        <f t="shared" si="0"/>
        <v>-38.340000000000003</v>
      </c>
      <c r="BO32" s="783"/>
      <c r="BP32" s="16">
        <v>38.340000000000003</v>
      </c>
      <c r="BQ32" s="16"/>
      <c r="BR32" s="16"/>
      <c r="BS32" s="16"/>
      <c r="BU32" s="2316"/>
      <c r="BV32" s="752"/>
      <c r="BW32" s="753"/>
      <c r="BX32" s="322"/>
      <c r="BY32" s="890"/>
      <c r="BZ32" s="752"/>
      <c r="CA32" s="322">
        <v>0</v>
      </c>
      <c r="CB32" s="888">
        <f t="shared" si="2"/>
        <v>0</v>
      </c>
      <c r="CC32" s="856"/>
      <c r="CD32" s="856"/>
      <c r="CE32" s="997"/>
      <c r="CF32" s="889"/>
      <c r="CG32" s="889"/>
      <c r="CH32" s="1510"/>
    </row>
    <row r="33" spans="1:86" ht="16" hidden="1" x14ac:dyDescent="0.2">
      <c r="A33" s="1907">
        <v>33</v>
      </c>
      <c r="B33" s="1346"/>
      <c r="C33" s="1356" t="s">
        <v>300</v>
      </c>
      <c r="D33" s="1358" t="s">
        <v>301</v>
      </c>
      <c r="E33" s="444"/>
      <c r="F33" s="445"/>
      <c r="G33" s="444"/>
      <c r="H33" s="445"/>
      <c r="I33" s="446"/>
      <c r="J33" s="447"/>
      <c r="K33" s="447">
        <f>+J33*0.8</f>
        <v>0</v>
      </c>
      <c r="L33" s="447">
        <f>+K33*I33</f>
        <v>0</v>
      </c>
      <c r="M33" s="447">
        <f>+L33*0.2</f>
        <v>0</v>
      </c>
      <c r="N33" s="1383">
        <f>+M33+L33</f>
        <v>0</v>
      </c>
      <c r="O33" s="457"/>
      <c r="P33" s="1400"/>
      <c r="Q33" s="59"/>
      <c r="R33" s="55"/>
      <c r="S33" s="1347"/>
      <c r="T33" s="274">
        <v>26</v>
      </c>
      <c r="U33" s="51" t="s">
        <v>294</v>
      </c>
      <c r="V33" s="51"/>
      <c r="W33" s="449">
        <v>299</v>
      </c>
      <c r="X33" s="51">
        <v>1</v>
      </c>
      <c r="Y33" s="447">
        <f>+X33*W33</f>
        <v>299</v>
      </c>
      <c r="Z33" s="303">
        <f>-Y33*1.2</f>
        <v>-358.8</v>
      </c>
      <c r="AA33" s="51">
        <v>561</v>
      </c>
      <c r="AB33" s="455"/>
      <c r="AC33" s="1348"/>
      <c r="AD33" s="443" t="s">
        <v>463</v>
      </c>
      <c r="AE33" s="303">
        <v>-890</v>
      </c>
      <c r="AN33" s="2">
        <v>17</v>
      </c>
      <c r="AO33" s="102" t="s">
        <v>300</v>
      </c>
      <c r="AP33" s="443" t="s">
        <v>301</v>
      </c>
      <c r="AQ33" s="51">
        <v>1</v>
      </c>
      <c r="AR33" s="449">
        <v>358.8</v>
      </c>
      <c r="AS33" s="443" t="s">
        <v>463</v>
      </c>
      <c r="AT33" s="450">
        <v>890</v>
      </c>
      <c r="AU33" s="303">
        <v>-889.92</v>
      </c>
      <c r="AV33" s="449">
        <v>1071.67</v>
      </c>
      <c r="AW33" s="12"/>
      <c r="AX33" s="1349"/>
      <c r="AY33" s="1349"/>
      <c r="AZ33" s="442"/>
      <c r="BA33" s="303"/>
      <c r="BC33" s="109">
        <v>28</v>
      </c>
      <c r="BD33" s="115"/>
      <c r="BE33" s="1952" t="s">
        <v>792</v>
      </c>
      <c r="BF33" s="1514" t="s">
        <v>793</v>
      </c>
      <c r="BG33" s="675"/>
      <c r="BH33" s="675"/>
      <c r="BI33" s="1364">
        <v>43647</v>
      </c>
      <c r="BJ33" s="55">
        <v>797</v>
      </c>
      <c r="BK33" s="55">
        <v>1</v>
      </c>
      <c r="BL33" s="16">
        <v>7.22</v>
      </c>
      <c r="BM33" s="1355">
        <f t="shared" si="1"/>
        <v>8.6639999999999997</v>
      </c>
      <c r="BN33" s="16">
        <f t="shared" si="0"/>
        <v>-8.6639999999999997</v>
      </c>
      <c r="BO33" s="16"/>
      <c r="BP33" s="1355">
        <f>7.22*1.2</f>
        <v>8.6639999999999997</v>
      </c>
      <c r="BQ33" s="16"/>
      <c r="BR33" s="1355"/>
      <c r="BS33" s="1355"/>
      <c r="BU33" s="2316"/>
      <c r="BV33" s="752"/>
      <c r="BW33" s="753"/>
      <c r="BX33" s="322"/>
      <c r="BY33" s="890"/>
      <c r="BZ33" s="752"/>
      <c r="CA33" s="322">
        <v>0</v>
      </c>
      <c r="CB33" s="888">
        <f t="shared" si="2"/>
        <v>0</v>
      </c>
      <c r="CC33" s="856"/>
      <c r="CD33" s="856"/>
      <c r="CE33" s="997"/>
      <c r="CF33" s="889"/>
      <c r="CG33" s="889"/>
      <c r="CH33" s="1510"/>
    </row>
    <row r="34" spans="1:86" ht="16" hidden="1" x14ac:dyDescent="0.2">
      <c r="A34" s="274">
        <v>34</v>
      </c>
      <c r="B34" s="1346"/>
      <c r="C34" s="1356" t="s">
        <v>710</v>
      </c>
      <c r="D34" s="1358"/>
      <c r="E34" s="444"/>
      <c r="F34" s="445"/>
      <c r="G34" s="444"/>
      <c r="H34" s="445"/>
      <c r="I34" s="446"/>
      <c r="J34" s="447"/>
      <c r="K34" s="447"/>
      <c r="L34" s="447"/>
      <c r="M34" s="447"/>
      <c r="N34" s="1383"/>
      <c r="O34" s="457"/>
      <c r="P34" s="1400"/>
      <c r="Q34" s="59"/>
      <c r="R34" s="55"/>
      <c r="S34" s="1347"/>
      <c r="U34" s="51"/>
      <c r="V34" s="51"/>
      <c r="W34" s="449"/>
      <c r="X34" s="51"/>
      <c r="Y34" s="447"/>
      <c r="Z34" s="303"/>
      <c r="AA34" s="51"/>
      <c r="AB34" s="455"/>
      <c r="AC34" s="1348"/>
      <c r="AD34" s="443"/>
      <c r="AE34" s="303"/>
      <c r="AO34" s="102"/>
      <c r="AP34" s="443"/>
      <c r="AQ34" s="51"/>
      <c r="AR34" s="449"/>
      <c r="AS34" s="443"/>
      <c r="AT34" s="450"/>
      <c r="AU34" s="303"/>
      <c r="AV34" s="449"/>
      <c r="AW34" s="12">
        <v>724</v>
      </c>
      <c r="AX34" s="1349">
        <v>43375</v>
      </c>
      <c r="AY34" s="1349" t="s">
        <v>711</v>
      </c>
      <c r="AZ34" s="442">
        <f>-70*1.2</f>
        <v>-84</v>
      </c>
      <c r="BA34" s="303"/>
      <c r="BC34" s="274">
        <v>29</v>
      </c>
      <c r="BD34" s="442">
        <v>37.475999999999999</v>
      </c>
      <c r="BE34" s="1942" t="s">
        <v>259</v>
      </c>
      <c r="BF34" s="1514" t="s">
        <v>794</v>
      </c>
      <c r="BG34" s="675"/>
      <c r="BH34" s="675"/>
      <c r="BI34" s="1364">
        <v>43770</v>
      </c>
      <c r="BJ34" s="55">
        <v>831</v>
      </c>
      <c r="BK34" s="55">
        <v>3</v>
      </c>
      <c r="BL34" s="16">
        <v>31.85</v>
      </c>
      <c r="BM34" s="1355">
        <f t="shared" si="1"/>
        <v>114.66</v>
      </c>
      <c r="BN34" s="16">
        <f t="shared" si="0"/>
        <v>-77.183999999999997</v>
      </c>
      <c r="BO34" s="16"/>
      <c r="BP34" s="1355"/>
      <c r="BQ34" s="16"/>
      <c r="BR34" s="1355">
        <v>114.66</v>
      </c>
      <c r="BS34" s="1355"/>
      <c r="BU34" s="2316"/>
      <c r="BV34" s="752"/>
      <c r="BW34" s="753"/>
      <c r="BX34" s="322"/>
      <c r="BY34" s="890"/>
      <c r="BZ34" s="752"/>
      <c r="CA34" s="322">
        <v>0</v>
      </c>
      <c r="CB34" s="888">
        <f t="shared" si="2"/>
        <v>0</v>
      </c>
      <c r="CC34" s="856"/>
      <c r="CD34" s="856"/>
      <c r="CE34" s="997"/>
      <c r="CF34" s="889"/>
      <c r="CG34" s="889"/>
      <c r="CH34" s="1510"/>
    </row>
    <row r="35" spans="1:86" ht="16" hidden="1" x14ac:dyDescent="0.2">
      <c r="A35" s="1907">
        <v>35</v>
      </c>
      <c r="B35" s="1346"/>
      <c r="C35" s="102" t="s">
        <v>550</v>
      </c>
      <c r="D35" s="443"/>
      <c r="E35" s="444"/>
      <c r="F35" s="445"/>
      <c r="G35" s="444"/>
      <c r="H35" s="445"/>
      <c r="I35" s="446"/>
      <c r="J35" s="447"/>
      <c r="K35" s="447"/>
      <c r="L35" s="447"/>
      <c r="M35" s="447"/>
      <c r="N35" s="1383"/>
      <c r="O35" s="457"/>
      <c r="P35" s="1400"/>
      <c r="Q35" s="59"/>
      <c r="R35" s="55"/>
      <c r="S35" s="1347"/>
      <c r="U35" s="51"/>
      <c r="V35" s="51"/>
      <c r="W35" s="449"/>
      <c r="X35" s="51"/>
      <c r="Y35" s="447"/>
      <c r="Z35" s="303"/>
      <c r="AA35" s="51"/>
      <c r="AB35" s="455"/>
      <c r="AC35" s="1348"/>
      <c r="AD35" s="443"/>
      <c r="AE35" s="303">
        <v>0</v>
      </c>
      <c r="AF35" s="459"/>
      <c r="AG35" s="441"/>
      <c r="AJ35" s="460"/>
      <c r="AK35" s="460"/>
      <c r="AL35" s="460"/>
      <c r="AN35" s="2">
        <v>19</v>
      </c>
      <c r="AO35" s="102" t="s">
        <v>550</v>
      </c>
      <c r="AP35" s="443" t="s">
        <v>269</v>
      </c>
      <c r="AQ35" s="51">
        <v>3</v>
      </c>
      <c r="AR35" s="449"/>
      <c r="AS35" s="443"/>
      <c r="AT35" s="450"/>
      <c r="AU35" s="303">
        <f>-89.85*1.2</f>
        <v>-107.82</v>
      </c>
      <c r="AV35" s="449">
        <v>1614.8719999999998</v>
      </c>
      <c r="AW35" s="12">
        <v>724</v>
      </c>
      <c r="AX35" s="1349">
        <v>43375</v>
      </c>
      <c r="AY35" s="1349" t="s">
        <v>709</v>
      </c>
      <c r="AZ35" s="442">
        <f>-59.9*1.2</f>
        <v>-71.88</v>
      </c>
      <c r="BA35" s="303"/>
      <c r="BC35" s="109">
        <v>30</v>
      </c>
      <c r="BD35" s="442">
        <v>33.72</v>
      </c>
      <c r="BE35" s="1942" t="s">
        <v>259</v>
      </c>
      <c r="BF35" s="1515" t="s">
        <v>289</v>
      </c>
      <c r="BG35" s="676"/>
      <c r="BH35" s="676"/>
      <c r="BI35" s="1376">
        <v>43770</v>
      </c>
      <c r="BJ35" s="65">
        <v>831</v>
      </c>
      <c r="BK35" s="65">
        <v>1</v>
      </c>
      <c r="BL35" s="16">
        <v>28.666666666666668</v>
      </c>
      <c r="BM35" s="1303">
        <f t="shared" si="1"/>
        <v>34.4</v>
      </c>
      <c r="BN35" s="16">
        <f t="shared" si="0"/>
        <v>-0.67999999999999972</v>
      </c>
      <c r="BO35" s="1049"/>
      <c r="BP35" s="1303"/>
      <c r="BQ35" s="1049"/>
      <c r="BR35" s="1303">
        <v>34.4</v>
      </c>
      <c r="BS35" s="1303"/>
      <c r="BU35" s="2316"/>
      <c r="BV35" s="752"/>
      <c r="BW35" s="754"/>
      <c r="BX35" s="891"/>
      <c r="BY35" s="892"/>
      <c r="BZ35" s="805"/>
      <c r="CA35" s="891">
        <v>0</v>
      </c>
      <c r="CB35" s="888">
        <f t="shared" si="2"/>
        <v>0</v>
      </c>
      <c r="CC35" s="856"/>
      <c r="CD35" s="856"/>
      <c r="CE35" s="997"/>
      <c r="CF35" s="889"/>
      <c r="CG35" s="889"/>
      <c r="CH35" s="1510"/>
    </row>
    <row r="36" spans="1:86" ht="16" hidden="1" x14ac:dyDescent="0.2">
      <c r="A36" s="274">
        <v>36</v>
      </c>
      <c r="B36" s="1346"/>
      <c r="C36" s="102" t="s">
        <v>271</v>
      </c>
      <c r="D36" s="443" t="s">
        <v>269</v>
      </c>
      <c r="E36" s="444">
        <v>4</v>
      </c>
      <c r="F36" s="445">
        <f>55.8*1.2*2</f>
        <v>133.91999999999999</v>
      </c>
      <c r="G36" s="444">
        <v>4</v>
      </c>
      <c r="H36" s="1377">
        <f>111.6*1.2</f>
        <v>133.91999999999999</v>
      </c>
      <c r="I36" s="446">
        <v>4</v>
      </c>
      <c r="J36" s="447">
        <v>28.36</v>
      </c>
      <c r="K36" s="447"/>
      <c r="L36" s="447">
        <f t="shared" ref="L36:L54" si="3">+J36*I36</f>
        <v>113.44</v>
      </c>
      <c r="M36" s="447">
        <f t="shared" ref="M36:M54" si="4">+L36*0.2</f>
        <v>22.688000000000002</v>
      </c>
      <c r="N36" s="1383">
        <f t="shared" ref="N36:N54" si="5">+M36+L36</f>
        <v>136.12799999999999</v>
      </c>
      <c r="O36" s="457"/>
      <c r="P36" s="64"/>
      <c r="Q36" s="64"/>
      <c r="R36" s="55"/>
      <c r="S36" s="1347"/>
      <c r="T36" s="274">
        <v>11</v>
      </c>
      <c r="U36" s="51" t="s">
        <v>272</v>
      </c>
      <c r="V36" s="51"/>
      <c r="W36" s="449">
        <v>28.92</v>
      </c>
      <c r="X36" s="51">
        <v>4</v>
      </c>
      <c r="Y36" s="447">
        <f>+X36*W36</f>
        <v>115.68</v>
      </c>
      <c r="Z36" s="303">
        <f>-Y36*1.2</f>
        <v>-138.816</v>
      </c>
      <c r="AA36" s="51">
        <v>544</v>
      </c>
      <c r="AB36" s="448">
        <f>+W36/J36-1</f>
        <v>1.9746121297602448E-2</v>
      </c>
      <c r="AC36" s="1348"/>
      <c r="AD36" s="443" t="s">
        <v>466</v>
      </c>
      <c r="AE36" s="303">
        <v>-139</v>
      </c>
      <c r="AF36" s="459">
        <v>11</v>
      </c>
      <c r="AG36" s="441">
        <v>422</v>
      </c>
      <c r="AH36" s="2" t="s">
        <v>441</v>
      </c>
      <c r="AI36" s="2" t="s">
        <v>442</v>
      </c>
      <c r="AJ36" s="460">
        <v>175.95</v>
      </c>
      <c r="AK36" s="460">
        <v>351.9</v>
      </c>
      <c r="AL36" s="460">
        <v>422.28</v>
      </c>
      <c r="AM36" s="2" t="s">
        <v>440</v>
      </c>
      <c r="AN36" s="2">
        <v>6</v>
      </c>
      <c r="AO36" s="102" t="s">
        <v>271</v>
      </c>
      <c r="AP36" s="443" t="s">
        <v>269</v>
      </c>
      <c r="AQ36" s="51">
        <v>4</v>
      </c>
      <c r="AR36" s="449">
        <v>138.816</v>
      </c>
      <c r="AS36" s="443" t="s">
        <v>466</v>
      </c>
      <c r="AT36" s="450">
        <v>139</v>
      </c>
      <c r="AU36" s="303">
        <f>-115.68*1.2</f>
        <v>-138.816</v>
      </c>
      <c r="AV36" s="449">
        <v>1614.8719999999998</v>
      </c>
      <c r="AW36" s="12">
        <v>724</v>
      </c>
      <c r="AX36" s="1349">
        <v>43375</v>
      </c>
      <c r="AY36" s="1349" t="s">
        <v>713</v>
      </c>
      <c r="AZ36" s="442">
        <f>-86.76*1.2</f>
        <v>-104.11200000000001</v>
      </c>
      <c r="BA36" s="303"/>
      <c r="BC36" s="274">
        <v>31</v>
      </c>
      <c r="BD36" s="115"/>
      <c r="BE36" s="1952" t="s">
        <v>255</v>
      </c>
      <c r="BF36" s="1515" t="s">
        <v>795</v>
      </c>
      <c r="BG36" s="675"/>
      <c r="BH36" s="675"/>
      <c r="BI36" s="1364">
        <v>43800</v>
      </c>
      <c r="BJ36" s="55">
        <v>838</v>
      </c>
      <c r="BK36" s="55">
        <v>2</v>
      </c>
      <c r="BL36" s="16">
        <v>55</v>
      </c>
      <c r="BM36" s="1355">
        <f t="shared" si="1"/>
        <v>132</v>
      </c>
      <c r="BN36" s="16">
        <f t="shared" si="0"/>
        <v>-132</v>
      </c>
      <c r="BO36" s="16"/>
      <c r="BP36" s="1355"/>
      <c r="BQ36" s="16"/>
      <c r="BR36" s="1355"/>
      <c r="BS36" s="1355">
        <v>132</v>
      </c>
      <c r="BU36" s="2316"/>
      <c r="BV36" s="752">
        <v>840</v>
      </c>
      <c r="BW36" s="753">
        <v>7</v>
      </c>
      <c r="BX36" s="322">
        <v>-462</v>
      </c>
      <c r="BY36" s="890">
        <v>43847</v>
      </c>
      <c r="BZ36" s="752">
        <v>3</v>
      </c>
      <c r="CA36" s="322">
        <v>-168</v>
      </c>
      <c r="CB36" s="888">
        <f t="shared" si="2"/>
        <v>-201.6</v>
      </c>
      <c r="CC36" s="856"/>
      <c r="CD36" s="856"/>
      <c r="CE36" s="997"/>
      <c r="CF36" s="889"/>
      <c r="CG36" s="889"/>
      <c r="CH36" s="1510"/>
    </row>
    <row r="37" spans="1:86" ht="16" hidden="1" x14ac:dyDescent="0.2">
      <c r="A37" s="1907">
        <v>37</v>
      </c>
      <c r="B37" s="1346"/>
      <c r="C37" s="102"/>
      <c r="D37" s="443"/>
      <c r="E37" s="444"/>
      <c r="F37" s="445"/>
      <c r="G37" s="444"/>
      <c r="H37" s="1377"/>
      <c r="I37" s="446"/>
      <c r="J37" s="447"/>
      <c r="K37" s="447"/>
      <c r="L37" s="447"/>
      <c r="M37" s="447"/>
      <c r="N37" s="1383"/>
      <c r="O37" s="457"/>
      <c r="P37" s="64"/>
      <c r="Q37" s="64"/>
      <c r="R37" s="55"/>
      <c r="S37" s="1347"/>
      <c r="U37" s="51"/>
      <c r="V37" s="51"/>
      <c r="W37" s="449"/>
      <c r="X37" s="51"/>
      <c r="Y37" s="447"/>
      <c r="Z37" s="303"/>
      <c r="AA37" s="51"/>
      <c r="AB37" s="448"/>
      <c r="AC37" s="1348"/>
      <c r="AD37" s="443"/>
      <c r="AE37" s="303"/>
      <c r="AF37" s="459"/>
      <c r="AG37" s="441"/>
      <c r="AJ37" s="460"/>
      <c r="AK37" s="460"/>
      <c r="AL37" s="460"/>
      <c r="AO37" s="102"/>
      <c r="AP37" s="443"/>
      <c r="AQ37" s="51"/>
      <c r="AR37" s="449"/>
      <c r="AS37" s="443"/>
      <c r="AT37" s="450"/>
      <c r="AU37" s="303"/>
      <c r="AV37" s="449"/>
      <c r="AW37" s="12"/>
      <c r="AX37" s="1349"/>
      <c r="AY37" s="1349"/>
      <c r="AZ37" s="442"/>
      <c r="BA37" s="303"/>
      <c r="BC37" s="109">
        <v>32</v>
      </c>
      <c r="BD37" s="115"/>
      <c r="BE37" s="1952"/>
      <c r="BF37" s="1515" t="s">
        <v>857</v>
      </c>
      <c r="BG37" s="675"/>
      <c r="BH37" s="675"/>
      <c r="BI37" s="1364"/>
      <c r="BJ37" s="55"/>
      <c r="BK37" s="55"/>
      <c r="BL37" s="16"/>
      <c r="BM37" s="1355"/>
      <c r="BN37" s="16"/>
      <c r="BO37" s="16"/>
      <c r="BP37" s="1355"/>
      <c r="BQ37" s="16"/>
      <c r="BR37" s="1355"/>
      <c r="BS37" s="1355"/>
      <c r="BU37" s="1304"/>
      <c r="BV37" s="752">
        <v>884</v>
      </c>
      <c r="BW37" s="753">
        <v>1</v>
      </c>
      <c r="BX37" s="322">
        <v>-72</v>
      </c>
      <c r="BY37" s="890" t="s">
        <v>859</v>
      </c>
      <c r="BZ37" s="752"/>
      <c r="CA37" s="322">
        <v>0</v>
      </c>
      <c r="CB37" s="888">
        <f t="shared" si="2"/>
        <v>0</v>
      </c>
      <c r="CC37" s="856"/>
      <c r="CD37" s="856"/>
      <c r="CE37" s="997"/>
      <c r="CF37" s="889"/>
      <c r="CG37" s="889"/>
      <c r="CH37" s="1510"/>
    </row>
    <row r="38" spans="1:86" ht="16" hidden="1" x14ac:dyDescent="0.2">
      <c r="A38" s="274">
        <v>38</v>
      </c>
      <c r="B38" s="1346"/>
      <c r="C38" s="102"/>
      <c r="D38" s="443"/>
      <c r="E38" s="444"/>
      <c r="F38" s="445"/>
      <c r="G38" s="444"/>
      <c r="H38" s="1377"/>
      <c r="I38" s="446"/>
      <c r="J38" s="447"/>
      <c r="K38" s="447"/>
      <c r="L38" s="447"/>
      <c r="M38" s="447"/>
      <c r="N38" s="1383"/>
      <c r="O38" s="457"/>
      <c r="P38" s="64"/>
      <c r="Q38" s="64"/>
      <c r="R38" s="55"/>
      <c r="S38" s="1347"/>
      <c r="U38" s="51"/>
      <c r="V38" s="51"/>
      <c r="W38" s="449"/>
      <c r="X38" s="51"/>
      <c r="Y38" s="447"/>
      <c r="Z38" s="303"/>
      <c r="AA38" s="51"/>
      <c r="AB38" s="448"/>
      <c r="AC38" s="1348"/>
      <c r="AD38" s="443"/>
      <c r="AE38" s="303"/>
      <c r="AF38" s="459"/>
      <c r="AG38" s="441"/>
      <c r="AJ38" s="460"/>
      <c r="AK38" s="460"/>
      <c r="AL38" s="460"/>
      <c r="AO38" s="102"/>
      <c r="AP38" s="443"/>
      <c r="AQ38" s="51"/>
      <c r="AR38" s="449"/>
      <c r="AS38" s="443"/>
      <c r="AT38" s="450"/>
      <c r="AU38" s="303"/>
      <c r="AV38" s="449"/>
      <c r="AW38" s="12"/>
      <c r="AX38" s="1349"/>
      <c r="AY38" s="1349"/>
      <c r="AZ38" s="442"/>
      <c r="BA38" s="303"/>
      <c r="BC38" s="274">
        <v>33</v>
      </c>
      <c r="BD38" s="115"/>
      <c r="BE38" s="1952"/>
      <c r="BF38" s="1515" t="s">
        <v>814</v>
      </c>
      <c r="BG38" s="675"/>
      <c r="BH38" s="675"/>
      <c r="BI38" s="1364"/>
      <c r="BJ38" s="55"/>
      <c r="BK38" s="55"/>
      <c r="BL38" s="16"/>
      <c r="BM38" s="1355"/>
      <c r="BN38" s="16"/>
      <c r="BO38" s="16"/>
      <c r="BP38" s="1355"/>
      <c r="BQ38" s="16"/>
      <c r="BR38" s="1355"/>
      <c r="BS38" s="1355"/>
      <c r="BU38" s="1355">
        <v>515</v>
      </c>
      <c r="BV38" s="752"/>
      <c r="BW38" s="753"/>
      <c r="BX38" s="322"/>
      <c r="BY38" s="890"/>
      <c r="BZ38" s="752"/>
      <c r="CA38" s="322">
        <v>0</v>
      </c>
      <c r="CB38" s="888">
        <f t="shared" si="2"/>
        <v>0</v>
      </c>
      <c r="CC38" s="856"/>
      <c r="CD38" s="856"/>
      <c r="CE38" s="997"/>
      <c r="CF38" s="889"/>
      <c r="CG38" s="889"/>
      <c r="CH38" s="1510"/>
    </row>
    <row r="39" spans="1:86" ht="16" hidden="1" x14ac:dyDescent="0.2">
      <c r="A39" s="1907">
        <v>39</v>
      </c>
      <c r="B39" s="1346"/>
      <c r="C39" s="102"/>
      <c r="D39" s="443"/>
      <c r="E39" s="444"/>
      <c r="F39" s="445"/>
      <c r="G39" s="444"/>
      <c r="H39" s="1377"/>
      <c r="I39" s="446"/>
      <c r="J39" s="447"/>
      <c r="K39" s="447"/>
      <c r="L39" s="447"/>
      <c r="M39" s="447"/>
      <c r="N39" s="1383"/>
      <c r="O39" s="457"/>
      <c r="P39" s="64"/>
      <c r="Q39" s="64"/>
      <c r="R39" s="55"/>
      <c r="S39" s="1347"/>
      <c r="U39" s="51"/>
      <c r="V39" s="51"/>
      <c r="W39" s="449"/>
      <c r="X39" s="51"/>
      <c r="Y39" s="447"/>
      <c r="Z39" s="303"/>
      <c r="AA39" s="51"/>
      <c r="AB39" s="448"/>
      <c r="AC39" s="1348"/>
      <c r="AD39" s="443"/>
      <c r="AE39" s="303"/>
      <c r="AF39" s="459"/>
      <c r="AG39" s="441"/>
      <c r="AJ39" s="460"/>
      <c r="AK39" s="460"/>
      <c r="AL39" s="460"/>
      <c r="AO39" s="102"/>
      <c r="AP39" s="443"/>
      <c r="AQ39" s="51"/>
      <c r="AR39" s="449"/>
      <c r="AS39" s="443"/>
      <c r="AT39" s="450"/>
      <c r="AU39" s="303"/>
      <c r="AV39" s="449"/>
      <c r="AW39" s="12"/>
      <c r="AX39" s="1349"/>
      <c r="AY39" s="1349"/>
      <c r="AZ39" s="442"/>
      <c r="BA39" s="303"/>
      <c r="BC39" s="109">
        <v>34</v>
      </c>
      <c r="BD39" s="115"/>
      <c r="BE39" s="1952"/>
      <c r="BF39" s="1515" t="s">
        <v>873</v>
      </c>
      <c r="BG39" s="675"/>
      <c r="BH39" s="675"/>
      <c r="BI39" s="1364"/>
      <c r="BJ39" s="55"/>
      <c r="BK39" s="55"/>
      <c r="BL39" s="16"/>
      <c r="BM39" s="1355"/>
      <c r="BN39" s="16"/>
      <c r="BO39" s="16"/>
      <c r="BP39" s="1355"/>
      <c r="BQ39" s="16"/>
      <c r="BR39" s="1355"/>
      <c r="BS39" s="1355"/>
      <c r="BU39" s="1355"/>
      <c r="BV39" s="752">
        <v>869</v>
      </c>
      <c r="BW39" s="753">
        <v>1</v>
      </c>
      <c r="BX39" s="322">
        <v>-105</v>
      </c>
      <c r="BY39" s="890">
        <v>44000</v>
      </c>
      <c r="BZ39" s="752"/>
      <c r="CA39" s="322">
        <v>0</v>
      </c>
      <c r="CB39" s="888">
        <f t="shared" si="2"/>
        <v>0</v>
      </c>
      <c r="CC39" s="856"/>
      <c r="CD39" s="856"/>
      <c r="CE39" s="997"/>
      <c r="CF39" s="889"/>
      <c r="CG39" s="889"/>
      <c r="CH39" s="1510"/>
    </row>
    <row r="40" spans="1:86" ht="16" hidden="1" x14ac:dyDescent="0.2">
      <c r="A40" s="274">
        <v>40</v>
      </c>
      <c r="B40" s="1346"/>
      <c r="C40" s="102" t="s">
        <v>268</v>
      </c>
      <c r="D40" s="443" t="s">
        <v>269</v>
      </c>
      <c r="E40" s="444">
        <v>2</v>
      </c>
      <c r="F40" s="445">
        <f>55*1.2</f>
        <v>66</v>
      </c>
      <c r="G40" s="444">
        <v>2</v>
      </c>
      <c r="H40" s="1377">
        <f>55*1.2</f>
        <v>66</v>
      </c>
      <c r="I40" s="446">
        <v>2</v>
      </c>
      <c r="J40" s="447">
        <v>29.25</v>
      </c>
      <c r="K40" s="447"/>
      <c r="L40" s="447">
        <f t="shared" si="3"/>
        <v>58.5</v>
      </c>
      <c r="M40" s="447">
        <f t="shared" si="4"/>
        <v>11.700000000000001</v>
      </c>
      <c r="N40" s="1383">
        <f t="shared" si="5"/>
        <v>70.2</v>
      </c>
      <c r="O40" s="457"/>
      <c r="P40" s="64"/>
      <c r="Q40" s="64"/>
      <c r="R40" s="55"/>
      <c r="S40" s="1347"/>
      <c r="T40" s="274">
        <v>10</v>
      </c>
      <c r="U40" s="51" t="s">
        <v>270</v>
      </c>
      <c r="V40" s="51"/>
      <c r="W40" s="449">
        <v>29.83</v>
      </c>
      <c r="X40" s="51">
        <v>2</v>
      </c>
      <c r="Y40" s="447">
        <f>+X40*W40</f>
        <v>59.66</v>
      </c>
      <c r="Z40" s="303">
        <f>-Y40*1.2</f>
        <v>-71.591999999999999</v>
      </c>
      <c r="AA40" s="51">
        <v>544</v>
      </c>
      <c r="AB40" s="448">
        <f>+W40/J40-1</f>
        <v>1.9829059829059803E-2</v>
      </c>
      <c r="AC40" s="1348"/>
      <c r="AD40" s="443" t="s">
        <v>445</v>
      </c>
      <c r="AE40" s="303">
        <v>-72</v>
      </c>
      <c r="AF40" s="459">
        <v>22</v>
      </c>
      <c r="AG40" s="441">
        <v>27</v>
      </c>
      <c r="AH40" s="2" t="s">
        <v>454</v>
      </c>
      <c r="AI40" s="2" t="s">
        <v>437</v>
      </c>
      <c r="AJ40" s="460">
        <v>22.44</v>
      </c>
      <c r="AK40" s="460">
        <v>22.44</v>
      </c>
      <c r="AL40" s="460">
        <v>26.92</v>
      </c>
      <c r="AM40" s="2" t="s">
        <v>433</v>
      </c>
      <c r="AN40" s="2">
        <v>5</v>
      </c>
      <c r="AO40" s="102" t="s">
        <v>268</v>
      </c>
      <c r="AP40" s="443" t="s">
        <v>269</v>
      </c>
      <c r="AQ40" s="51">
        <v>2</v>
      </c>
      <c r="AR40" s="449">
        <v>71.591999999999999</v>
      </c>
      <c r="AS40" s="443" t="s">
        <v>445</v>
      </c>
      <c r="AT40" s="450">
        <v>72</v>
      </c>
      <c r="AU40" s="303">
        <f>-59.66*1.2</f>
        <v>-71.591999999999999</v>
      </c>
      <c r="AV40" s="449">
        <v>1614.8719999999998</v>
      </c>
      <c r="AW40" s="12">
        <v>724</v>
      </c>
      <c r="AX40" s="1349">
        <v>43375</v>
      </c>
      <c r="AY40" s="1349" t="s">
        <v>709</v>
      </c>
      <c r="AZ40" s="442">
        <f>-59.66*1.2</f>
        <v>-71.591999999999999</v>
      </c>
      <c r="BA40" s="303"/>
      <c r="BC40" s="274">
        <v>35</v>
      </c>
      <c r="BD40" s="442">
        <v>144</v>
      </c>
      <c r="BE40" s="1942"/>
      <c r="BF40" s="1515" t="s">
        <v>719</v>
      </c>
      <c r="BG40" s="675"/>
      <c r="BH40" s="675"/>
      <c r="BI40" s="1364"/>
      <c r="BJ40" s="55"/>
      <c r="BK40" s="55"/>
      <c r="BL40" s="16"/>
      <c r="BM40" s="1355"/>
      <c r="BN40" s="16">
        <f t="shared" si="0"/>
        <v>144</v>
      </c>
      <c r="BO40" s="16"/>
      <c r="BP40" s="1355"/>
      <c r="BQ40" s="16"/>
      <c r="BR40" s="1355"/>
      <c r="BS40" s="1355"/>
      <c r="BU40" s="115"/>
      <c r="BV40" s="755"/>
      <c r="BW40" s="753"/>
      <c r="BX40" s="322"/>
      <c r="BY40" s="890"/>
      <c r="BZ40" s="752"/>
      <c r="CA40" s="322">
        <v>0</v>
      </c>
      <c r="CB40" s="888">
        <f t="shared" si="2"/>
        <v>0</v>
      </c>
      <c r="CC40" s="856"/>
      <c r="CD40" s="856"/>
      <c r="CE40" s="997"/>
      <c r="CF40" s="889"/>
      <c r="CG40" s="889"/>
      <c r="CH40" s="1510"/>
    </row>
    <row r="41" spans="1:86" ht="32" hidden="1" x14ac:dyDescent="0.2">
      <c r="A41" s="1907">
        <v>41</v>
      </c>
      <c r="B41" s="1346"/>
      <c r="C41" s="102" t="s">
        <v>287</v>
      </c>
      <c r="D41" s="443" t="s">
        <v>288</v>
      </c>
      <c r="E41" s="444"/>
      <c r="F41" s="445"/>
      <c r="G41" s="444"/>
      <c r="H41" s="445">
        <v>36.76</v>
      </c>
      <c r="I41" s="446">
        <v>1</v>
      </c>
      <c r="J41" s="447">
        <v>29.05</v>
      </c>
      <c r="K41" s="447"/>
      <c r="L41" s="447">
        <f t="shared" si="3"/>
        <v>29.05</v>
      </c>
      <c r="M41" s="447">
        <f t="shared" si="4"/>
        <v>5.8100000000000005</v>
      </c>
      <c r="N41" s="1383">
        <f t="shared" si="5"/>
        <v>34.86</v>
      </c>
      <c r="O41" s="457"/>
      <c r="P41" s="64"/>
      <c r="Q41" s="64"/>
      <c r="R41" s="55"/>
      <c r="S41" s="1347"/>
      <c r="T41" s="274">
        <v>22</v>
      </c>
      <c r="U41" s="51" t="s">
        <v>287</v>
      </c>
      <c r="V41" s="51"/>
      <c r="W41" s="449">
        <v>36.75</v>
      </c>
      <c r="X41" s="51">
        <v>1</v>
      </c>
      <c r="Y41" s="447">
        <f>+X41*W41</f>
        <v>36.75</v>
      </c>
      <c r="Z41" s="303">
        <f>-Y41*1.2</f>
        <v>-44.1</v>
      </c>
      <c r="AA41" s="51">
        <v>544</v>
      </c>
      <c r="AB41" s="448">
        <f>+W41/J41-1</f>
        <v>0.26506024096385539</v>
      </c>
      <c r="AC41" s="1348" t="s">
        <v>257</v>
      </c>
      <c r="AD41" s="443" t="s">
        <v>458</v>
      </c>
      <c r="AE41" s="303">
        <v>-44</v>
      </c>
      <c r="AF41" s="459">
        <v>27</v>
      </c>
      <c r="AG41" s="441">
        <v>80</v>
      </c>
      <c r="AH41" s="2" t="s">
        <v>460</v>
      </c>
      <c r="AI41" s="2" t="s">
        <v>449</v>
      </c>
      <c r="AJ41" s="460">
        <v>33.51</v>
      </c>
      <c r="AK41" s="460">
        <v>67.02</v>
      </c>
      <c r="AL41" s="460">
        <v>80.42</v>
      </c>
      <c r="AM41" s="2" t="s">
        <v>459</v>
      </c>
      <c r="AN41" s="2">
        <v>13</v>
      </c>
      <c r="AO41" s="102" t="s">
        <v>287</v>
      </c>
      <c r="AP41" s="443" t="s">
        <v>288</v>
      </c>
      <c r="AQ41" s="51">
        <v>1</v>
      </c>
      <c r="AR41" s="449">
        <v>44.1</v>
      </c>
      <c r="AS41" s="443" t="s">
        <v>458</v>
      </c>
      <c r="AT41" s="450">
        <v>44</v>
      </c>
      <c r="AU41" s="303"/>
      <c r="AV41" s="449"/>
      <c r="AW41" s="12"/>
      <c r="AX41" s="1349"/>
      <c r="AY41" s="1349"/>
      <c r="AZ41" s="442"/>
      <c r="BA41" s="303"/>
      <c r="BC41" s="109">
        <v>36</v>
      </c>
      <c r="BD41" s="442">
        <v>108</v>
      </c>
      <c r="BE41" s="1942"/>
      <c r="BF41" s="1514" t="s">
        <v>718</v>
      </c>
      <c r="BG41" s="675"/>
      <c r="BH41" s="675"/>
      <c r="BI41" s="1364"/>
      <c r="BJ41" s="55"/>
      <c r="BK41" s="55"/>
      <c r="BL41" s="16"/>
      <c r="BM41" s="1355"/>
      <c r="BN41" s="16">
        <f t="shared" si="0"/>
        <v>108</v>
      </c>
      <c r="BO41" s="16"/>
      <c r="BP41" s="1355"/>
      <c r="BQ41" s="16"/>
      <c r="BR41" s="1355"/>
      <c r="BS41" s="1355"/>
      <c r="BU41" s="115"/>
      <c r="BV41" s="755"/>
      <c r="BW41" s="753"/>
      <c r="BX41" s="322"/>
      <c r="BY41" s="890"/>
      <c r="BZ41" s="752"/>
      <c r="CA41" s="322">
        <v>0</v>
      </c>
      <c r="CB41" s="888">
        <f t="shared" si="2"/>
        <v>0</v>
      </c>
      <c r="CC41" s="856"/>
      <c r="CD41" s="856"/>
      <c r="CE41" s="997"/>
      <c r="CF41" s="889"/>
      <c r="CG41" s="889"/>
      <c r="CH41" s="1510"/>
    </row>
    <row r="42" spans="1:86" ht="16" hidden="1" x14ac:dyDescent="0.2">
      <c r="A42" s="274">
        <v>42</v>
      </c>
      <c r="B42" s="1346"/>
      <c r="C42" s="102" t="s">
        <v>261</v>
      </c>
      <c r="D42" s="443" t="s">
        <v>262</v>
      </c>
      <c r="E42" s="444"/>
      <c r="F42" s="445"/>
      <c r="G42" s="444"/>
      <c r="H42" s="445"/>
      <c r="I42" s="446">
        <v>1</v>
      </c>
      <c r="J42" s="447">
        <v>66.28</v>
      </c>
      <c r="K42" s="447"/>
      <c r="L42" s="447">
        <f t="shared" si="3"/>
        <v>66.28</v>
      </c>
      <c r="M42" s="447">
        <f t="shared" si="4"/>
        <v>13.256</v>
      </c>
      <c r="N42" s="1383">
        <f t="shared" si="5"/>
        <v>79.536000000000001</v>
      </c>
      <c r="O42" s="457">
        <f>SUM(N42:N79)</f>
        <v>466.82399999999996</v>
      </c>
      <c r="P42" s="64">
        <v>473</v>
      </c>
      <c r="Q42" s="1375">
        <v>42248</v>
      </c>
      <c r="R42" s="55"/>
      <c r="S42" s="1347"/>
      <c r="T42" s="274">
        <v>7</v>
      </c>
      <c r="U42" s="51" t="s">
        <v>263</v>
      </c>
      <c r="V42" s="51"/>
      <c r="W42" s="449">
        <v>67.930000000000007</v>
      </c>
      <c r="X42" s="51">
        <v>3</v>
      </c>
      <c r="Y42" s="447">
        <f>+X42*W42</f>
        <v>203.79000000000002</v>
      </c>
      <c r="Z42" s="303">
        <f>-Y42*1.2</f>
        <v>-244.548</v>
      </c>
      <c r="AA42" s="51">
        <v>544</v>
      </c>
      <c r="AB42" s="448">
        <f>+W42/J42-1</f>
        <v>2.4894387447193855E-2</v>
      </c>
      <c r="AC42" s="1348"/>
      <c r="AD42" s="443" t="s">
        <v>439</v>
      </c>
      <c r="AE42" s="303">
        <v>-245</v>
      </c>
      <c r="AF42" s="459">
        <v>29</v>
      </c>
      <c r="AG42" s="441">
        <v>129</v>
      </c>
      <c r="AH42" s="2">
        <v>2016</v>
      </c>
      <c r="AI42" s="2" t="s">
        <v>449</v>
      </c>
      <c r="AJ42" s="460">
        <v>53.76</v>
      </c>
      <c r="AK42" s="460">
        <v>107.52</v>
      </c>
      <c r="AL42" s="460">
        <v>129.02000000000001</v>
      </c>
      <c r="AM42" s="2" t="s">
        <v>461</v>
      </c>
      <c r="AN42" s="2">
        <v>3</v>
      </c>
      <c r="AO42" s="102" t="s">
        <v>261</v>
      </c>
      <c r="AP42" s="443" t="s">
        <v>262</v>
      </c>
      <c r="AQ42" s="51">
        <v>3</v>
      </c>
      <c r="AR42" s="449">
        <v>244.548</v>
      </c>
      <c r="AS42" s="443" t="s">
        <v>439</v>
      </c>
      <c r="AT42" s="450">
        <v>245</v>
      </c>
      <c r="AU42" s="303">
        <f>-203.79*1.2</f>
        <v>-244.54799999999997</v>
      </c>
      <c r="AV42" s="449">
        <v>1614.8719999999998</v>
      </c>
      <c r="AW42" s="12">
        <v>725</v>
      </c>
      <c r="AX42" s="1349">
        <v>43369</v>
      </c>
      <c r="AY42" s="1349" t="s">
        <v>704</v>
      </c>
      <c r="AZ42" s="442">
        <f>-256.56*1.2</f>
        <v>-307.87200000000001</v>
      </c>
      <c r="BA42" s="303"/>
      <c r="BC42" s="274">
        <v>37</v>
      </c>
      <c r="BD42" s="442">
        <v>54</v>
      </c>
      <c r="BE42" s="1942"/>
      <c r="BF42" s="1514" t="s">
        <v>662</v>
      </c>
      <c r="BG42" s="675"/>
      <c r="BH42" s="675"/>
      <c r="BI42" s="1364"/>
      <c r="BJ42" s="55"/>
      <c r="BK42" s="55"/>
      <c r="BL42" s="16"/>
      <c r="BM42" s="1355"/>
      <c r="BN42" s="16">
        <f t="shared" si="0"/>
        <v>54</v>
      </c>
      <c r="BO42" s="16"/>
      <c r="BP42" s="1355"/>
      <c r="BQ42" s="16"/>
      <c r="BR42" s="1355"/>
      <c r="BS42" s="1355"/>
      <c r="BU42" s="115"/>
      <c r="BV42" s="755"/>
      <c r="BW42" s="753"/>
      <c r="BX42" s="322"/>
      <c r="BY42" s="890"/>
      <c r="BZ42" s="752"/>
      <c r="CA42" s="322">
        <v>0</v>
      </c>
      <c r="CB42" s="888">
        <f t="shared" si="2"/>
        <v>0</v>
      </c>
      <c r="CC42" s="856"/>
      <c r="CD42" s="856"/>
      <c r="CE42" s="997"/>
      <c r="CF42" s="889"/>
      <c r="CG42" s="889"/>
      <c r="CH42" s="1510"/>
    </row>
    <row r="43" spans="1:86" ht="32" hidden="1" x14ac:dyDescent="0.2">
      <c r="A43" s="1907">
        <v>43</v>
      </c>
      <c r="B43" s="1346"/>
      <c r="C43" s="102"/>
      <c r="D43" s="443"/>
      <c r="E43" s="444"/>
      <c r="F43" s="445"/>
      <c r="G43" s="444"/>
      <c r="H43" s="445"/>
      <c r="I43" s="446"/>
      <c r="J43" s="447"/>
      <c r="K43" s="447"/>
      <c r="L43" s="447"/>
      <c r="M43" s="447"/>
      <c r="N43" s="1383"/>
      <c r="O43" s="457"/>
      <c r="P43" s="64"/>
      <c r="Q43" s="1375"/>
      <c r="R43" s="55"/>
      <c r="S43" s="1347"/>
      <c r="U43" s="51"/>
      <c r="V43" s="51"/>
      <c r="W43" s="449"/>
      <c r="X43" s="51"/>
      <c r="Y43" s="447"/>
      <c r="Z43" s="303"/>
      <c r="AA43" s="51"/>
      <c r="AB43" s="448"/>
      <c r="AC43" s="1348"/>
      <c r="AD43" s="443"/>
      <c r="AE43" s="303"/>
      <c r="AF43" s="459"/>
      <c r="AG43" s="441"/>
      <c r="AJ43" s="460"/>
      <c r="AK43" s="460"/>
      <c r="AL43" s="460"/>
      <c r="AO43" s="102"/>
      <c r="AP43" s="443"/>
      <c r="AQ43" s="51"/>
      <c r="AR43" s="449"/>
      <c r="AS43" s="443"/>
      <c r="AT43" s="450"/>
      <c r="AU43" s="303"/>
      <c r="AV43" s="449"/>
      <c r="AW43" s="12"/>
      <c r="AX43" s="1349"/>
      <c r="AY43" s="1349"/>
      <c r="AZ43" s="442"/>
      <c r="BA43" s="303"/>
      <c r="BC43" s="109">
        <v>38</v>
      </c>
      <c r="BD43" s="1953"/>
      <c r="BE43" s="1954"/>
      <c r="BF43" s="1516" t="s">
        <v>925</v>
      </c>
      <c r="BG43" s="802"/>
      <c r="BH43" s="802"/>
      <c r="BI43" s="1378"/>
      <c r="BJ43" s="1379"/>
      <c r="BK43" s="1379"/>
      <c r="BL43" s="1380"/>
      <c r="BM43" s="1381"/>
      <c r="BN43" s="1370"/>
      <c r="BO43" s="1380"/>
      <c r="BP43" s="1381"/>
      <c r="BQ43" s="1380"/>
      <c r="BR43" s="1381"/>
      <c r="BS43" s="1381"/>
      <c r="BU43" s="1382"/>
      <c r="BV43" s="756"/>
      <c r="BW43" s="754"/>
      <c r="BX43" s="891"/>
      <c r="BY43" s="892"/>
      <c r="BZ43" s="805"/>
      <c r="CA43" s="891">
        <v>0</v>
      </c>
      <c r="CB43" s="893">
        <v>-307.19</v>
      </c>
      <c r="CC43" s="858"/>
      <c r="CD43" s="858"/>
      <c r="CE43" s="999"/>
      <c r="CF43" s="889"/>
      <c r="CG43" s="889"/>
      <c r="CH43" s="1510"/>
    </row>
    <row r="44" spans="1:86" ht="16" hidden="1" x14ac:dyDescent="0.2">
      <c r="A44" s="274">
        <v>44</v>
      </c>
      <c r="B44" s="1346"/>
      <c r="C44" s="102"/>
      <c r="D44" s="443"/>
      <c r="E44" s="444"/>
      <c r="F44" s="445"/>
      <c r="G44" s="444"/>
      <c r="H44" s="445"/>
      <c r="I44" s="446"/>
      <c r="J44" s="447"/>
      <c r="K44" s="447"/>
      <c r="L44" s="447"/>
      <c r="M44" s="447"/>
      <c r="N44" s="1383"/>
      <c r="O44" s="457"/>
      <c r="P44" s="64"/>
      <c r="Q44" s="1375"/>
      <c r="R44" s="55"/>
      <c r="S44" s="1347"/>
      <c r="U44" s="51"/>
      <c r="V44" s="51"/>
      <c r="W44" s="449"/>
      <c r="X44" s="51"/>
      <c r="Y44" s="447"/>
      <c r="Z44" s="303"/>
      <c r="AA44" s="51"/>
      <c r="AB44" s="448"/>
      <c r="AC44" s="1348"/>
      <c r="AD44" s="443"/>
      <c r="AE44" s="303"/>
      <c r="AF44" s="459"/>
      <c r="AG44" s="441"/>
      <c r="AJ44" s="460"/>
      <c r="AK44" s="460"/>
      <c r="AL44" s="460"/>
      <c r="AO44" s="102"/>
      <c r="AP44" s="443"/>
      <c r="AQ44" s="51"/>
      <c r="AR44" s="449"/>
      <c r="AS44" s="443"/>
      <c r="AT44" s="450"/>
      <c r="AU44" s="303"/>
      <c r="AV44" s="449"/>
      <c r="AW44" s="12"/>
      <c r="AX44" s="1349"/>
      <c r="AY44" s="1349"/>
      <c r="AZ44" s="442"/>
      <c r="BA44" s="303"/>
      <c r="BC44" s="109"/>
      <c r="BD44" s="1953"/>
      <c r="BE44" s="1954"/>
      <c r="BF44" s="1515" t="s">
        <v>1020</v>
      </c>
      <c r="BG44" s="995"/>
      <c r="BH44" s="995"/>
      <c r="BI44" s="1376"/>
      <c r="BJ44" s="65"/>
      <c r="BK44" s="65"/>
      <c r="BL44" s="1049"/>
      <c r="BM44" s="1303"/>
      <c r="BN44" s="16"/>
      <c r="BO44" s="1049"/>
      <c r="BP44" s="1303"/>
      <c r="BQ44" s="1049"/>
      <c r="BR44" s="1303"/>
      <c r="BS44" s="1303"/>
      <c r="BU44" s="1128"/>
      <c r="BV44" s="756"/>
      <c r="BW44" s="754"/>
      <c r="BX44" s="891"/>
      <c r="BY44" s="892"/>
      <c r="BZ44" s="805"/>
      <c r="CA44" s="891"/>
      <c r="CB44" s="888"/>
      <c r="CC44" s="996"/>
      <c r="CD44" s="996"/>
      <c r="CE44" s="1000">
        <v>-12</v>
      </c>
      <c r="CF44" s="994"/>
      <c r="CG44" s="994"/>
      <c r="CH44" s="1517"/>
    </row>
    <row r="45" spans="1:86" ht="16" hidden="1" x14ac:dyDescent="0.2">
      <c r="A45" s="1907">
        <v>45</v>
      </c>
      <c r="B45" s="1346"/>
      <c r="C45" s="102"/>
      <c r="D45" s="443"/>
      <c r="E45" s="444"/>
      <c r="F45" s="445"/>
      <c r="G45" s="444"/>
      <c r="H45" s="445"/>
      <c r="I45" s="446"/>
      <c r="J45" s="447"/>
      <c r="K45" s="447"/>
      <c r="L45" s="447"/>
      <c r="M45" s="447"/>
      <c r="N45" s="1383"/>
      <c r="O45" s="457"/>
      <c r="P45" s="64"/>
      <c r="Q45" s="1375"/>
      <c r="R45" s="55"/>
      <c r="S45" s="1347"/>
      <c r="U45" s="51"/>
      <c r="V45" s="51"/>
      <c r="W45" s="449"/>
      <c r="X45" s="51"/>
      <c r="Y45" s="447"/>
      <c r="Z45" s="303"/>
      <c r="AA45" s="51"/>
      <c r="AB45" s="448"/>
      <c r="AC45" s="1348"/>
      <c r="AD45" s="443"/>
      <c r="AE45" s="303"/>
      <c r="AF45" s="459"/>
      <c r="AG45" s="441"/>
      <c r="AJ45" s="460"/>
      <c r="AK45" s="460"/>
      <c r="AL45" s="460"/>
      <c r="AO45" s="102"/>
      <c r="AP45" s="443"/>
      <c r="AQ45" s="51"/>
      <c r="AR45" s="449"/>
      <c r="AS45" s="443"/>
      <c r="AT45" s="450"/>
      <c r="AU45" s="303"/>
      <c r="AV45" s="449"/>
      <c r="AW45" s="12"/>
      <c r="AX45" s="1349"/>
      <c r="AY45" s="1349"/>
      <c r="AZ45" s="442"/>
      <c r="BA45" s="303"/>
      <c r="BC45" s="109"/>
      <c r="BD45" s="1953"/>
      <c r="BE45" s="1954"/>
      <c r="BF45" s="1515" t="s">
        <v>1021</v>
      </c>
      <c r="BG45" s="995"/>
      <c r="BH45" s="995"/>
      <c r="BI45" s="1376"/>
      <c r="BJ45" s="65"/>
      <c r="BK45" s="65"/>
      <c r="BL45" s="1049"/>
      <c r="BM45" s="1303"/>
      <c r="BN45" s="16"/>
      <c r="BO45" s="1049"/>
      <c r="BP45" s="1303"/>
      <c r="BQ45" s="1049"/>
      <c r="BR45" s="1303"/>
      <c r="BS45" s="1303"/>
      <c r="BU45" s="1128"/>
      <c r="BV45" s="756"/>
      <c r="BW45" s="754"/>
      <c r="BX45" s="891"/>
      <c r="BY45" s="892"/>
      <c r="BZ45" s="805"/>
      <c r="CA45" s="891"/>
      <c r="CB45" s="888"/>
      <c r="CC45" s="996"/>
      <c r="CD45" s="996"/>
      <c r="CE45" s="1000">
        <v>-36.700000000000003</v>
      </c>
      <c r="CF45" s="994"/>
      <c r="CG45" s="994"/>
      <c r="CH45" s="1517"/>
    </row>
    <row r="46" spans="1:86" ht="32" hidden="1" x14ac:dyDescent="0.2">
      <c r="A46" s="274">
        <v>46</v>
      </c>
      <c r="B46" s="1346"/>
      <c r="C46" s="102"/>
      <c r="D46" s="443"/>
      <c r="E46" s="444"/>
      <c r="F46" s="445"/>
      <c r="G46" s="444"/>
      <c r="H46" s="445"/>
      <c r="I46" s="446"/>
      <c r="J46" s="447"/>
      <c r="K46" s="447"/>
      <c r="L46" s="447"/>
      <c r="M46" s="447"/>
      <c r="N46" s="1383"/>
      <c r="O46" s="457"/>
      <c r="P46" s="64"/>
      <c r="Q46" s="1375"/>
      <c r="R46" s="55"/>
      <c r="S46" s="1347"/>
      <c r="U46" s="51"/>
      <c r="V46" s="51"/>
      <c r="W46" s="449"/>
      <c r="X46" s="51"/>
      <c r="Y46" s="447"/>
      <c r="Z46" s="303"/>
      <c r="AA46" s="51"/>
      <c r="AB46" s="448"/>
      <c r="AC46" s="1348"/>
      <c r="AD46" s="443"/>
      <c r="AE46" s="303"/>
      <c r="AF46" s="459"/>
      <c r="AG46" s="441"/>
      <c r="AJ46" s="460"/>
      <c r="AK46" s="460"/>
      <c r="AL46" s="460"/>
      <c r="AO46" s="102"/>
      <c r="AP46" s="443"/>
      <c r="AQ46" s="51"/>
      <c r="AR46" s="449"/>
      <c r="AS46" s="443"/>
      <c r="AT46" s="450"/>
      <c r="AU46" s="303"/>
      <c r="AV46" s="449"/>
      <c r="AW46" s="12"/>
      <c r="AX46" s="1349"/>
      <c r="AY46" s="1349"/>
      <c r="AZ46" s="442"/>
      <c r="BA46" s="303"/>
      <c r="BC46" s="109"/>
      <c r="BD46" s="1953"/>
      <c r="BE46" s="1954"/>
      <c r="BF46" s="1515" t="s">
        <v>1022</v>
      </c>
      <c r="BG46" s="995"/>
      <c r="BH46" s="995"/>
      <c r="BI46" s="1376"/>
      <c r="BJ46" s="65"/>
      <c r="BK46" s="65"/>
      <c r="BL46" s="1049"/>
      <c r="BM46" s="1303"/>
      <c r="BN46" s="16"/>
      <c r="BO46" s="1049"/>
      <c r="BP46" s="1303"/>
      <c r="BQ46" s="1049"/>
      <c r="BR46" s="1303"/>
      <c r="BS46" s="1303"/>
      <c r="BU46" s="1128"/>
      <c r="BV46" s="756"/>
      <c r="BW46" s="754"/>
      <c r="BX46" s="891"/>
      <c r="BY46" s="892"/>
      <c r="BZ46" s="805"/>
      <c r="CA46" s="891"/>
      <c r="CB46" s="888"/>
      <c r="CC46" s="996"/>
      <c r="CD46" s="996"/>
      <c r="CE46" s="1000">
        <v>-504.59</v>
      </c>
      <c r="CF46" s="994"/>
      <c r="CG46" s="994"/>
      <c r="CH46" s="1517"/>
    </row>
    <row r="47" spans="1:86" ht="16" hidden="1" x14ac:dyDescent="0.2">
      <c r="A47" s="1907">
        <v>47</v>
      </c>
      <c r="B47" s="1346"/>
      <c r="C47" s="102"/>
      <c r="D47" s="443"/>
      <c r="E47" s="444"/>
      <c r="F47" s="445"/>
      <c r="G47" s="444"/>
      <c r="H47" s="445"/>
      <c r="I47" s="446"/>
      <c r="J47" s="447"/>
      <c r="K47" s="447"/>
      <c r="L47" s="447"/>
      <c r="M47" s="447"/>
      <c r="N47" s="1383"/>
      <c r="O47" s="457"/>
      <c r="P47" s="64"/>
      <c r="Q47" s="1375"/>
      <c r="R47" s="55"/>
      <c r="S47" s="1347"/>
      <c r="U47" s="51"/>
      <c r="V47" s="51"/>
      <c r="W47" s="449"/>
      <c r="X47" s="51"/>
      <c r="Y47" s="447"/>
      <c r="Z47" s="303"/>
      <c r="AA47" s="51"/>
      <c r="AB47" s="448"/>
      <c r="AC47" s="1348"/>
      <c r="AD47" s="443"/>
      <c r="AE47" s="303"/>
      <c r="AF47" s="459"/>
      <c r="AG47" s="441"/>
      <c r="AJ47" s="460"/>
      <c r="AK47" s="460"/>
      <c r="AL47" s="460"/>
      <c r="AO47" s="102"/>
      <c r="AP47" s="443"/>
      <c r="AQ47" s="51"/>
      <c r="AR47" s="449"/>
      <c r="AS47" s="443"/>
      <c r="AT47" s="450"/>
      <c r="AU47" s="303"/>
      <c r="AV47" s="449"/>
      <c r="AW47" s="12"/>
      <c r="AX47" s="1349"/>
      <c r="AY47" s="1349"/>
      <c r="AZ47" s="442"/>
      <c r="BA47" s="303"/>
      <c r="BC47" s="109"/>
      <c r="BD47" s="1953"/>
      <c r="BE47" s="1954"/>
      <c r="BF47" s="1515" t="s">
        <v>247</v>
      </c>
      <c r="BG47" s="995"/>
      <c r="BH47" s="995"/>
      <c r="BI47" s="1376"/>
      <c r="BJ47" s="65"/>
      <c r="BK47" s="65"/>
      <c r="BL47" s="1049"/>
      <c r="BM47" s="1303"/>
      <c r="BN47" s="16"/>
      <c r="BO47" s="1049"/>
      <c r="BP47" s="1303"/>
      <c r="BQ47" s="1049"/>
      <c r="BR47" s="1303"/>
      <c r="BS47" s="1303"/>
      <c r="BU47" s="1128"/>
      <c r="BV47" s="756"/>
      <c r="BW47" s="754"/>
      <c r="BX47" s="891"/>
      <c r="BY47" s="892"/>
      <c r="BZ47" s="805"/>
      <c r="CA47" s="891"/>
      <c r="CB47" s="888"/>
      <c r="CC47" s="996"/>
      <c r="CD47" s="996"/>
      <c r="CE47" s="1000">
        <v>46.08</v>
      </c>
      <c r="CF47" s="994"/>
      <c r="CG47" s="994"/>
      <c r="CH47" s="1517"/>
    </row>
    <row r="48" spans="1:86" ht="16" hidden="1" x14ac:dyDescent="0.2">
      <c r="A48" s="274">
        <v>48</v>
      </c>
      <c r="B48" s="1346"/>
      <c r="C48" s="102"/>
      <c r="D48" s="443"/>
      <c r="E48" s="444"/>
      <c r="F48" s="445"/>
      <c r="G48" s="444"/>
      <c r="H48" s="445"/>
      <c r="I48" s="446"/>
      <c r="J48" s="447"/>
      <c r="K48" s="447"/>
      <c r="L48" s="447"/>
      <c r="M48" s="447"/>
      <c r="N48" s="1383"/>
      <c r="O48" s="457"/>
      <c r="P48" s="64"/>
      <c r="Q48" s="1375"/>
      <c r="R48" s="55"/>
      <c r="S48" s="1347"/>
      <c r="U48" s="51"/>
      <c r="V48" s="51"/>
      <c r="W48" s="449"/>
      <c r="X48" s="51"/>
      <c r="Y48" s="447"/>
      <c r="Z48" s="303"/>
      <c r="AA48" s="51"/>
      <c r="AB48" s="448"/>
      <c r="AC48" s="1348"/>
      <c r="AD48" s="443"/>
      <c r="AE48" s="303"/>
      <c r="AF48" s="459"/>
      <c r="AG48" s="441"/>
      <c r="AJ48" s="460"/>
      <c r="AK48" s="460"/>
      <c r="AL48" s="460"/>
      <c r="AO48" s="102"/>
      <c r="AP48" s="443"/>
      <c r="AQ48" s="51"/>
      <c r="AR48" s="449"/>
      <c r="AS48" s="443"/>
      <c r="AT48" s="450"/>
      <c r="AU48" s="303"/>
      <c r="AV48" s="449"/>
      <c r="AW48" s="12"/>
      <c r="AX48" s="1349"/>
      <c r="AY48" s="1349"/>
      <c r="AZ48" s="442"/>
      <c r="BA48" s="303"/>
      <c r="BC48" s="109"/>
      <c r="BD48" s="1953"/>
      <c r="BE48" s="1954"/>
      <c r="BF48" s="1515" t="s">
        <v>972</v>
      </c>
      <c r="BG48" s="995"/>
      <c r="BH48" s="995"/>
      <c r="BI48" s="1376"/>
      <c r="BJ48" s="65"/>
      <c r="BK48" s="65"/>
      <c r="BL48" s="1049"/>
      <c r="BM48" s="1303"/>
      <c r="BN48" s="16"/>
      <c r="BO48" s="1049"/>
      <c r="BP48" s="1303"/>
      <c r="BQ48" s="1049"/>
      <c r="BR48" s="1303"/>
      <c r="BS48" s="1303"/>
      <c r="BU48" s="1128"/>
      <c r="BV48" s="756"/>
      <c r="BW48" s="754"/>
      <c r="BX48" s="891"/>
      <c r="BY48" s="892"/>
      <c r="BZ48" s="805"/>
      <c r="CA48" s="891"/>
      <c r="CB48" s="888"/>
      <c r="CC48" s="996"/>
      <c r="CD48" s="996"/>
      <c r="CE48" s="1000">
        <v>-24</v>
      </c>
      <c r="CF48" s="994"/>
      <c r="CG48" s="994"/>
      <c r="CH48" s="1517"/>
    </row>
    <row r="49" spans="1:86" ht="16" hidden="1" x14ac:dyDescent="0.2">
      <c r="A49" s="1907">
        <v>49</v>
      </c>
      <c r="B49" s="1346"/>
      <c r="C49" s="102"/>
      <c r="D49" s="443"/>
      <c r="E49" s="444"/>
      <c r="F49" s="445"/>
      <c r="G49" s="444"/>
      <c r="H49" s="445"/>
      <c r="I49" s="446"/>
      <c r="J49" s="447"/>
      <c r="K49" s="447"/>
      <c r="L49" s="447"/>
      <c r="M49" s="447"/>
      <c r="N49" s="1383"/>
      <c r="O49" s="457"/>
      <c r="P49" s="64"/>
      <c r="Q49" s="1375"/>
      <c r="R49" s="55"/>
      <c r="S49" s="1347"/>
      <c r="U49" s="51"/>
      <c r="V49" s="51"/>
      <c r="W49" s="449"/>
      <c r="X49" s="51"/>
      <c r="Y49" s="447"/>
      <c r="Z49" s="303"/>
      <c r="AA49" s="51"/>
      <c r="AB49" s="448"/>
      <c r="AC49" s="1348"/>
      <c r="AD49" s="443"/>
      <c r="AE49" s="303"/>
      <c r="AF49" s="459"/>
      <c r="AG49" s="441"/>
      <c r="AJ49" s="460"/>
      <c r="AK49" s="460"/>
      <c r="AL49" s="460"/>
      <c r="AO49" s="102"/>
      <c r="AP49" s="443"/>
      <c r="AQ49" s="51"/>
      <c r="AR49" s="449"/>
      <c r="AS49" s="443"/>
      <c r="AT49" s="450"/>
      <c r="AU49" s="303"/>
      <c r="AV49" s="449"/>
      <c r="AW49" s="12"/>
      <c r="AX49" s="1349"/>
      <c r="AY49" s="1349"/>
      <c r="AZ49" s="442"/>
      <c r="BA49" s="303"/>
      <c r="BC49" s="109"/>
      <c r="BD49" s="1953"/>
      <c r="BE49" s="1954"/>
      <c r="BF49" s="1515" t="s">
        <v>1023</v>
      </c>
      <c r="BG49" s="995"/>
      <c r="BH49" s="995"/>
      <c r="BI49" s="1376"/>
      <c r="BJ49" s="65"/>
      <c r="BK49" s="65"/>
      <c r="BL49" s="1049"/>
      <c r="BM49" s="1303"/>
      <c r="BN49" s="16"/>
      <c r="BO49" s="1049"/>
      <c r="BP49" s="1303"/>
      <c r="BQ49" s="1049"/>
      <c r="BR49" s="1303"/>
      <c r="BS49" s="1303"/>
      <c r="BU49" s="1128"/>
      <c r="BV49" s="756"/>
      <c r="BW49" s="754"/>
      <c r="BX49" s="891"/>
      <c r="BY49" s="892"/>
      <c r="BZ49" s="805"/>
      <c r="CA49" s="891"/>
      <c r="CB49" s="888"/>
      <c r="CC49" s="996"/>
      <c r="CD49" s="996"/>
      <c r="CE49" s="1000">
        <v>-25.16</v>
      </c>
      <c r="CF49" s="994"/>
      <c r="CG49" s="994"/>
      <c r="CH49" s="1517"/>
    </row>
    <row r="50" spans="1:86" ht="16" hidden="1" x14ac:dyDescent="0.2">
      <c r="A50" s="274">
        <v>50</v>
      </c>
      <c r="B50" s="1346"/>
      <c r="C50" s="102"/>
      <c r="D50" s="443"/>
      <c r="E50" s="444"/>
      <c r="F50" s="445"/>
      <c r="G50" s="444"/>
      <c r="H50" s="445"/>
      <c r="I50" s="446"/>
      <c r="J50" s="447"/>
      <c r="K50" s="447"/>
      <c r="L50" s="447"/>
      <c r="M50" s="447"/>
      <c r="N50" s="1383"/>
      <c r="O50" s="457"/>
      <c r="P50" s="64"/>
      <c r="Q50" s="1375"/>
      <c r="R50" s="55"/>
      <c r="S50" s="1347"/>
      <c r="U50" s="51"/>
      <c r="V50" s="51"/>
      <c r="W50" s="449"/>
      <c r="X50" s="51"/>
      <c r="Y50" s="447"/>
      <c r="Z50" s="303"/>
      <c r="AA50" s="51"/>
      <c r="AB50" s="448"/>
      <c r="AC50" s="1348"/>
      <c r="AD50" s="443"/>
      <c r="AE50" s="303"/>
      <c r="AF50" s="459"/>
      <c r="AG50" s="441"/>
      <c r="AJ50" s="460"/>
      <c r="AK50" s="460"/>
      <c r="AL50" s="460"/>
      <c r="AO50" s="102"/>
      <c r="AP50" s="443"/>
      <c r="AQ50" s="51"/>
      <c r="AR50" s="449"/>
      <c r="AS50" s="443"/>
      <c r="AT50" s="450"/>
      <c r="AU50" s="303"/>
      <c r="AV50" s="449"/>
      <c r="AW50" s="12"/>
      <c r="AX50" s="1349"/>
      <c r="AY50" s="1349"/>
      <c r="AZ50" s="442"/>
      <c r="BA50" s="303"/>
      <c r="BC50" s="109"/>
      <c r="BD50" s="1953"/>
      <c r="BE50" s="1954"/>
      <c r="BF50" s="1515" t="s">
        <v>247</v>
      </c>
      <c r="BG50" s="995"/>
      <c r="BH50" s="995"/>
      <c r="BI50" s="1376"/>
      <c r="BJ50" s="65"/>
      <c r="BK50" s="65"/>
      <c r="BL50" s="1049"/>
      <c r="BM50" s="1303"/>
      <c r="BN50" s="16"/>
      <c r="BO50" s="1049"/>
      <c r="BP50" s="1303"/>
      <c r="BQ50" s="1049"/>
      <c r="BR50" s="1303"/>
      <c r="BS50" s="1303"/>
      <c r="BU50" s="1128"/>
      <c r="BV50" s="756"/>
      <c r="BW50" s="754"/>
      <c r="BX50" s="891"/>
      <c r="BY50" s="892"/>
      <c r="BZ50" s="805"/>
      <c r="CA50" s="891"/>
      <c r="CB50" s="888"/>
      <c r="CC50" s="996"/>
      <c r="CD50" s="996"/>
      <c r="CE50" s="1000">
        <v>-92.16</v>
      </c>
      <c r="CF50" s="994"/>
      <c r="CG50" s="994"/>
      <c r="CH50" s="1517"/>
    </row>
    <row r="51" spans="1:86" ht="17" hidden="1" thickBot="1" x14ac:dyDescent="0.25">
      <c r="A51" s="1907">
        <v>51</v>
      </c>
      <c r="B51" s="1346"/>
      <c r="C51" s="102" t="s">
        <v>261</v>
      </c>
      <c r="D51" s="443" t="s">
        <v>262</v>
      </c>
      <c r="E51" s="444"/>
      <c r="F51" s="445"/>
      <c r="G51" s="444"/>
      <c r="H51" s="445"/>
      <c r="I51" s="446">
        <v>2</v>
      </c>
      <c r="J51" s="447">
        <v>66.28</v>
      </c>
      <c r="K51" s="447"/>
      <c r="L51" s="447">
        <f t="shared" si="3"/>
        <v>132.56</v>
      </c>
      <c r="M51" s="447">
        <f t="shared" si="4"/>
        <v>26.512</v>
      </c>
      <c r="N51" s="1383">
        <f t="shared" si="5"/>
        <v>159.072</v>
      </c>
      <c r="O51" s="457"/>
      <c r="P51" s="64"/>
      <c r="Q51" s="64"/>
      <c r="R51" s="55"/>
      <c r="S51" s="1347"/>
      <c r="T51" s="274">
        <v>16</v>
      </c>
      <c r="U51" s="51"/>
      <c r="V51" s="51"/>
      <c r="W51" s="337"/>
      <c r="X51" s="51"/>
      <c r="Y51" s="51"/>
      <c r="Z51" s="303"/>
      <c r="AA51" s="51"/>
      <c r="AB51" s="448"/>
      <c r="AC51" s="1365"/>
      <c r="AD51" s="443"/>
      <c r="AE51" s="303">
        <v>0</v>
      </c>
      <c r="AF51" s="459">
        <v>21</v>
      </c>
      <c r="AG51" s="441">
        <v>47</v>
      </c>
      <c r="AH51" s="1683" t="s">
        <v>452</v>
      </c>
      <c r="AI51" s="2" t="s">
        <v>453</v>
      </c>
      <c r="AJ51" s="460">
        <v>46.57</v>
      </c>
      <c r="AK51" s="460">
        <v>46.57</v>
      </c>
      <c r="AL51" s="460">
        <v>46.57</v>
      </c>
      <c r="AM51" s="2" t="s">
        <v>380</v>
      </c>
      <c r="AO51" s="102"/>
      <c r="AP51" s="443"/>
      <c r="AQ51" s="51"/>
      <c r="AR51" s="449"/>
      <c r="AS51" s="443"/>
      <c r="AT51" s="450"/>
      <c r="AU51" s="303"/>
      <c r="AV51" s="449"/>
      <c r="AW51" s="12"/>
      <c r="AX51" s="1349"/>
      <c r="AY51" s="1349"/>
      <c r="AZ51" s="442"/>
      <c r="BA51" s="303"/>
      <c r="BC51" s="274">
        <v>39</v>
      </c>
      <c r="BD51" s="1955">
        <v>106.5</v>
      </c>
      <c r="BE51" s="1956"/>
      <c r="BF51" s="1515" t="s">
        <v>706</v>
      </c>
      <c r="BG51" s="676"/>
      <c r="BH51" s="676"/>
      <c r="BI51" s="1376"/>
      <c r="BJ51" s="65"/>
      <c r="BK51" s="65"/>
      <c r="BL51" s="1049"/>
      <c r="BM51" s="1303"/>
      <c r="BN51" s="16">
        <f>+BD51-BM51</f>
        <v>106.5</v>
      </c>
      <c r="BO51" s="1049"/>
      <c r="BP51" s="1303"/>
      <c r="BQ51" s="1049"/>
      <c r="BR51" s="1303"/>
      <c r="BS51" s="1303"/>
      <c r="BU51" s="1384"/>
      <c r="BV51" s="756"/>
      <c r="BW51" s="754"/>
      <c r="BX51" s="891"/>
      <c r="BY51" s="892"/>
      <c r="BZ51" s="805"/>
      <c r="CA51" s="891"/>
      <c r="CB51" s="888">
        <f>+CA51*1.2</f>
        <v>0</v>
      </c>
      <c r="CC51" s="859"/>
      <c r="CD51" s="859"/>
      <c r="CE51" s="1001"/>
      <c r="CF51" s="894"/>
      <c r="CG51" s="894"/>
      <c r="CH51" s="1518"/>
    </row>
    <row r="52" spans="1:86" ht="17" hidden="1" thickTop="1" x14ac:dyDescent="0.2">
      <c r="A52" s="274">
        <v>52</v>
      </c>
      <c r="B52" s="1346"/>
      <c r="C52" s="102" t="s">
        <v>289</v>
      </c>
      <c r="D52" s="443" t="s">
        <v>259</v>
      </c>
      <c r="E52" s="444"/>
      <c r="F52" s="445"/>
      <c r="G52" s="444">
        <v>1</v>
      </c>
      <c r="H52" s="445">
        <v>33.6</v>
      </c>
      <c r="I52" s="446">
        <v>1</v>
      </c>
      <c r="J52" s="447">
        <v>25.76</v>
      </c>
      <c r="K52" s="447"/>
      <c r="L52" s="447">
        <f t="shared" si="3"/>
        <v>25.76</v>
      </c>
      <c r="M52" s="447">
        <f t="shared" si="4"/>
        <v>5.152000000000001</v>
      </c>
      <c r="N52" s="1383">
        <f t="shared" si="5"/>
        <v>30.912000000000003</v>
      </c>
      <c r="O52" s="1949"/>
      <c r="P52" s="1362"/>
      <c r="Q52" s="1362"/>
      <c r="R52" s="55"/>
      <c r="S52" s="1347"/>
      <c r="T52" s="274">
        <v>23</v>
      </c>
      <c r="U52" s="51" t="s">
        <v>290</v>
      </c>
      <c r="V52" s="51"/>
      <c r="W52" s="449">
        <v>26.27</v>
      </c>
      <c r="X52" s="51">
        <v>1</v>
      </c>
      <c r="Y52" s="447">
        <f>+X52*W52</f>
        <v>26.27</v>
      </c>
      <c r="Z52" s="303">
        <f>-Y52*1.2</f>
        <v>-31.523999999999997</v>
      </c>
      <c r="AA52" s="51">
        <v>544</v>
      </c>
      <c r="AB52" s="448">
        <f>+W52/J52-1</f>
        <v>1.9798136645962749E-2</v>
      </c>
      <c r="AC52" s="1348"/>
      <c r="AD52" s="443"/>
      <c r="AE52" s="303">
        <v>0</v>
      </c>
      <c r="AF52" s="459"/>
      <c r="AG52" s="441"/>
      <c r="AH52" s="1683"/>
      <c r="AJ52" s="460"/>
      <c r="AK52" s="460"/>
      <c r="AL52" s="460"/>
      <c r="AN52" s="2">
        <v>14</v>
      </c>
      <c r="AO52" s="102" t="s">
        <v>289</v>
      </c>
      <c r="AP52" s="443" t="s">
        <v>259</v>
      </c>
      <c r="AQ52" s="51">
        <v>1</v>
      </c>
      <c r="AR52" s="449">
        <v>31.523999999999997</v>
      </c>
      <c r="AS52" s="443"/>
      <c r="AT52" s="450"/>
      <c r="AU52" s="303">
        <f>-26.27*1.2</f>
        <v>-31.523999999999997</v>
      </c>
      <c r="AV52" s="449">
        <v>1614.8719999999998</v>
      </c>
      <c r="AW52" s="12">
        <v>724</v>
      </c>
      <c r="AX52" s="1349">
        <v>43375</v>
      </c>
      <c r="AY52" s="1349" t="s">
        <v>717</v>
      </c>
      <c r="AZ52" s="442">
        <f>-28.1*1.2</f>
        <v>-33.72</v>
      </c>
      <c r="BA52" s="303"/>
      <c r="BC52" s="109">
        <v>40</v>
      </c>
      <c r="BD52" s="677">
        <f>SUM(BD6:BD51)</f>
        <v>2494.9960000000001</v>
      </c>
      <c r="BE52" s="1957"/>
      <c r="BF52" s="1519" t="s">
        <v>796</v>
      </c>
      <c r="BG52" s="678"/>
      <c r="BH52" s="678"/>
      <c r="BI52" s="1385"/>
      <c r="BJ52" s="1386"/>
      <c r="BK52" s="1386"/>
      <c r="BL52" s="679"/>
      <c r="BM52" s="677">
        <f>SUM(BM6:BM51)</f>
        <v>3751.6440000000002</v>
      </c>
      <c r="BN52" s="679">
        <f t="shared" ref="BN52:BS52" si="6">SUM(BN8:BN51)</f>
        <v>-320.98199999999997</v>
      </c>
      <c r="BO52" s="677">
        <f t="shared" si="6"/>
        <v>1478.79</v>
      </c>
      <c r="BP52" s="677">
        <f t="shared" si="6"/>
        <v>78.134</v>
      </c>
      <c r="BQ52" s="677">
        <f t="shared" si="6"/>
        <v>1882.5300000000002</v>
      </c>
      <c r="BR52" s="677">
        <f t="shared" si="6"/>
        <v>180.19</v>
      </c>
      <c r="BS52" s="677">
        <f t="shared" si="6"/>
        <v>132</v>
      </c>
      <c r="BU52" s="677">
        <f>SUM(BU6:BU51)</f>
        <v>3451</v>
      </c>
      <c r="BV52" s="757"/>
      <c r="BW52" s="758"/>
      <c r="BX52" s="895">
        <f>SUM(BX6:BX51)</f>
        <v>-3098.7959999999994</v>
      </c>
      <c r="BY52" s="896"/>
      <c r="BZ52" s="757"/>
      <c r="CA52" s="895">
        <f>SUM(CA6:CA51)</f>
        <v>-1400.06</v>
      </c>
      <c r="CB52" s="897">
        <f>SUM(CB6:CB51)</f>
        <v>-2290.6719999999996</v>
      </c>
      <c r="CC52" s="851"/>
      <c r="CD52" s="851"/>
      <c r="CE52" s="1002">
        <f>SUM(CE6:CE51)</f>
        <v>-648.53</v>
      </c>
      <c r="CF52" s="898">
        <f t="shared" ref="CF52" si="7">SUM(CF6:CF51)</f>
        <v>0</v>
      </c>
      <c r="CG52" s="898"/>
      <c r="CH52" s="1520">
        <f>SUM(CH6:CH51)</f>
        <v>0</v>
      </c>
    </row>
    <row r="53" spans="1:86" ht="16" hidden="1" x14ac:dyDescent="0.2">
      <c r="A53" s="1907">
        <v>53</v>
      </c>
      <c r="B53" s="1346"/>
      <c r="C53" s="102" t="s">
        <v>258</v>
      </c>
      <c r="D53" s="443" t="s">
        <v>259</v>
      </c>
      <c r="E53" s="444"/>
      <c r="F53" s="445"/>
      <c r="G53" s="444"/>
      <c r="H53" s="445"/>
      <c r="I53" s="446">
        <v>1</v>
      </c>
      <c r="J53" s="447">
        <v>20.75</v>
      </c>
      <c r="K53" s="447"/>
      <c r="L53" s="447">
        <f t="shared" si="3"/>
        <v>20.75</v>
      </c>
      <c r="M53" s="447">
        <f t="shared" si="4"/>
        <v>4.1500000000000004</v>
      </c>
      <c r="N53" s="1383">
        <f t="shared" si="5"/>
        <v>24.9</v>
      </c>
      <c r="O53" s="1958"/>
      <c r="P53" s="55"/>
      <c r="Q53" s="55"/>
      <c r="R53" s="1387"/>
      <c r="S53" s="462"/>
      <c r="T53" s="274">
        <v>6</v>
      </c>
      <c r="U53" s="51" t="s">
        <v>260</v>
      </c>
      <c r="V53" s="51"/>
      <c r="W53" s="449">
        <v>21.16</v>
      </c>
      <c r="X53" s="51">
        <v>1</v>
      </c>
      <c r="Y53" s="447">
        <f>+X53*W53</f>
        <v>21.16</v>
      </c>
      <c r="Z53" s="303">
        <f>-Y53*1.2</f>
        <v>-25.391999999999999</v>
      </c>
      <c r="AA53" s="51">
        <v>544</v>
      </c>
      <c r="AB53" s="448">
        <f>+W53/J53-1</f>
        <v>1.9759036144578301E-2</v>
      </c>
      <c r="AC53" s="1348"/>
      <c r="AD53" s="443" t="s">
        <v>437</v>
      </c>
      <c r="AE53" s="303">
        <v>-25</v>
      </c>
      <c r="AF53" s="459">
        <v>14</v>
      </c>
      <c r="AG53" s="441">
        <v>139</v>
      </c>
      <c r="AH53" s="1683" t="s">
        <v>447</v>
      </c>
      <c r="AI53" s="2" t="s">
        <v>445</v>
      </c>
      <c r="AJ53" s="460">
        <v>28.92</v>
      </c>
      <c r="AK53" s="460">
        <v>57.84</v>
      </c>
      <c r="AL53" s="460">
        <v>69.400000000000006</v>
      </c>
      <c r="AM53" s="2" t="s">
        <v>446</v>
      </c>
      <c r="AN53" s="2">
        <v>2</v>
      </c>
      <c r="AO53" s="102" t="s">
        <v>258</v>
      </c>
      <c r="AP53" s="443" t="s">
        <v>259</v>
      </c>
      <c r="AQ53" s="51">
        <v>1</v>
      </c>
      <c r="AR53" s="449">
        <v>25.391999999999999</v>
      </c>
      <c r="AS53" s="443" t="s">
        <v>437</v>
      </c>
      <c r="AT53" s="450">
        <v>25</v>
      </c>
      <c r="AU53" s="303">
        <f>-27.06*1.2</f>
        <v>-32.471999999999994</v>
      </c>
      <c r="AV53" s="449">
        <v>1614.8719999999998</v>
      </c>
      <c r="AW53" s="12">
        <v>724</v>
      </c>
      <c r="AX53" s="1349">
        <v>43375</v>
      </c>
      <c r="AY53" s="1349" t="s">
        <v>717</v>
      </c>
      <c r="AZ53" s="442">
        <f>-31.23*1.2</f>
        <v>-37.475999999999999</v>
      </c>
      <c r="BA53" s="303"/>
      <c r="BC53" s="274">
        <v>41</v>
      </c>
      <c r="BD53" s="1109"/>
      <c r="BE53" s="1959"/>
      <c r="BF53" s="1514"/>
      <c r="BG53" s="675"/>
      <c r="BH53" s="675"/>
      <c r="BI53" s="447"/>
      <c r="BJ53" s="55"/>
      <c r="BK53" s="55"/>
      <c r="BL53" s="16"/>
      <c r="BM53" s="1355"/>
      <c r="BN53" s="16"/>
      <c r="BO53" s="16"/>
      <c r="BP53" s="1355"/>
      <c r="BQ53" s="16"/>
      <c r="BR53" s="1355"/>
      <c r="BS53" s="1355"/>
      <c r="BU53" s="1355"/>
      <c r="BV53" s="752"/>
      <c r="BW53" s="753"/>
      <c r="BX53" s="322"/>
      <c r="BY53" s="890"/>
      <c r="BZ53" s="752"/>
      <c r="CA53" s="322"/>
      <c r="CB53" s="888"/>
      <c r="CC53" s="852"/>
      <c r="CD53" s="852"/>
      <c r="CE53" s="1003"/>
      <c r="CF53" s="899"/>
      <c r="CG53" s="899"/>
      <c r="CH53" s="1521"/>
    </row>
    <row r="54" spans="1:86" ht="16" hidden="1" x14ac:dyDescent="0.2">
      <c r="A54" s="274">
        <v>54</v>
      </c>
      <c r="B54" s="1346"/>
      <c r="C54" s="102" t="s">
        <v>283</v>
      </c>
      <c r="D54" s="443" t="s">
        <v>259</v>
      </c>
      <c r="E54" s="444"/>
      <c r="F54" s="445"/>
      <c r="G54" s="444"/>
      <c r="H54" s="445"/>
      <c r="I54" s="446">
        <v>1</v>
      </c>
      <c r="J54" s="447">
        <v>22</v>
      </c>
      <c r="K54" s="447"/>
      <c r="L54" s="447">
        <f t="shared" si="3"/>
        <v>22</v>
      </c>
      <c r="M54" s="447">
        <f t="shared" si="4"/>
        <v>4.4000000000000004</v>
      </c>
      <c r="N54" s="1383">
        <f t="shared" si="5"/>
        <v>26.4</v>
      </c>
      <c r="O54" s="1958"/>
      <c r="P54" s="55"/>
      <c r="Q54" s="55"/>
      <c r="R54" s="55"/>
      <c r="S54" s="1347"/>
      <c r="T54" s="274">
        <v>19</v>
      </c>
      <c r="U54" s="51" t="s">
        <v>284</v>
      </c>
      <c r="V54" s="51"/>
      <c r="W54" s="449">
        <v>22.44</v>
      </c>
      <c r="X54" s="51">
        <v>1</v>
      </c>
      <c r="Y54" s="447">
        <f>+X54*W54</f>
        <v>22.44</v>
      </c>
      <c r="Z54" s="303">
        <f>-Y54*1.2</f>
        <v>-26.928000000000001</v>
      </c>
      <c r="AA54" s="51">
        <v>544</v>
      </c>
      <c r="AB54" s="448">
        <f>+W54/J54-1</f>
        <v>2.0000000000000018E-2</v>
      </c>
      <c r="AC54" s="1348"/>
      <c r="AD54" s="443" t="s">
        <v>437</v>
      </c>
      <c r="AE54" s="303">
        <v>-27</v>
      </c>
      <c r="AF54" s="459"/>
      <c r="AG54" s="441"/>
      <c r="AJ54" s="460"/>
      <c r="AK54" s="460"/>
      <c r="AL54" s="460"/>
      <c r="AN54" s="2">
        <v>11</v>
      </c>
      <c r="AO54" s="102" t="s">
        <v>283</v>
      </c>
      <c r="AP54" s="443" t="s">
        <v>259</v>
      </c>
      <c r="AQ54" s="51">
        <v>1</v>
      </c>
      <c r="AR54" s="449">
        <v>26.928000000000001</v>
      </c>
      <c r="AS54" s="443" t="s">
        <v>437</v>
      </c>
      <c r="AT54" s="450">
        <v>27</v>
      </c>
      <c r="AU54" s="303">
        <f>-22.44*1.2</f>
        <v>-26.928000000000001</v>
      </c>
      <c r="AV54" s="449">
        <v>1614.8719999999998</v>
      </c>
      <c r="AW54" s="12">
        <v>724</v>
      </c>
      <c r="AX54" s="1349">
        <v>43375</v>
      </c>
      <c r="AY54" s="1349" t="s">
        <v>717</v>
      </c>
      <c r="AZ54" s="442">
        <f>-25.41*1.2</f>
        <v>-30.491999999999997</v>
      </c>
      <c r="BA54" s="303"/>
      <c r="BC54" s="109">
        <v>42</v>
      </c>
      <c r="BD54" s="2401">
        <v>730.89</v>
      </c>
      <c r="BE54" s="1503" t="s">
        <v>797</v>
      </c>
      <c r="BF54" s="1511" t="s">
        <v>303</v>
      </c>
      <c r="BG54" s="1353"/>
      <c r="BH54" s="1353">
        <f>105*6</f>
        <v>630</v>
      </c>
      <c r="BI54" s="1364">
        <v>43709</v>
      </c>
      <c r="BJ54" s="55">
        <v>820</v>
      </c>
      <c r="BK54" s="55">
        <v>6</v>
      </c>
      <c r="BL54" s="16">
        <v>101.5</v>
      </c>
      <c r="BM54" s="1355">
        <f t="shared" ref="BM54:BM56" si="8">SUM(BO54:BS54)</f>
        <v>730.8</v>
      </c>
      <c r="BN54" s="2369">
        <f>+BD54-BM57</f>
        <v>-37.409999999999968</v>
      </c>
      <c r="BO54" s="16"/>
      <c r="BP54" s="1355"/>
      <c r="BQ54" s="16">
        <v>730.8</v>
      </c>
      <c r="BR54" s="1355"/>
      <c r="BS54" s="1355"/>
      <c r="BU54" s="2315">
        <v>775</v>
      </c>
      <c r="BV54" s="752"/>
      <c r="BW54" s="753">
        <v>886</v>
      </c>
      <c r="BX54" s="322">
        <v>-770.9</v>
      </c>
      <c r="BY54" s="890"/>
      <c r="BZ54" s="752">
        <v>6</v>
      </c>
      <c r="CA54" s="322">
        <v>-720</v>
      </c>
      <c r="CB54" s="888">
        <v>-864</v>
      </c>
      <c r="CC54" s="849"/>
      <c r="CD54" s="849"/>
      <c r="CE54" s="1004"/>
      <c r="CF54" s="2392"/>
      <c r="CG54" s="1157"/>
      <c r="CH54" s="2395"/>
    </row>
    <row r="55" spans="1:86" ht="32" hidden="1" x14ac:dyDescent="0.2">
      <c r="A55" s="1907">
        <v>55</v>
      </c>
      <c r="B55" s="1346"/>
      <c r="C55" s="102" t="s">
        <v>283</v>
      </c>
      <c r="D55" s="443"/>
      <c r="E55" s="444"/>
      <c r="F55" s="445"/>
      <c r="G55" s="444"/>
      <c r="H55" s="445"/>
      <c r="I55" s="446"/>
      <c r="J55" s="447"/>
      <c r="K55" s="447"/>
      <c r="L55" s="447"/>
      <c r="M55" s="447"/>
      <c r="N55" s="1383"/>
      <c r="O55" s="1958"/>
      <c r="P55" s="55"/>
      <c r="Q55" s="55"/>
      <c r="R55" s="65"/>
      <c r="S55" s="1347"/>
      <c r="U55" s="51"/>
      <c r="V55" s="51"/>
      <c r="W55" s="449"/>
      <c r="X55" s="51"/>
      <c r="Y55" s="447"/>
      <c r="Z55" s="303"/>
      <c r="AA55" s="51"/>
      <c r="AB55" s="448"/>
      <c r="AC55" s="1348"/>
      <c r="AD55" s="443"/>
      <c r="AE55" s="303">
        <v>0</v>
      </c>
      <c r="AF55" s="459">
        <v>34</v>
      </c>
      <c r="AG55" s="441">
        <v>126</v>
      </c>
      <c r="AH55" s="2" t="s">
        <v>464</v>
      </c>
      <c r="AI55" s="2" t="s">
        <v>465</v>
      </c>
      <c r="AJ55" s="460">
        <v>35</v>
      </c>
      <c r="AK55" s="460">
        <v>105</v>
      </c>
      <c r="AL55" s="460">
        <v>126</v>
      </c>
      <c r="AM55" s="2" t="s">
        <v>443</v>
      </c>
      <c r="AN55" s="2">
        <v>10</v>
      </c>
      <c r="AO55" s="102" t="s">
        <v>283</v>
      </c>
      <c r="AP55" s="443" t="s">
        <v>259</v>
      </c>
      <c r="AQ55" s="51">
        <v>1</v>
      </c>
      <c r="AR55" s="449"/>
      <c r="AS55" s="443"/>
      <c r="AT55" s="450"/>
      <c r="AU55" s="303">
        <v>-27.46</v>
      </c>
      <c r="AV55" s="449">
        <v>27.46</v>
      </c>
      <c r="AW55" s="12"/>
      <c r="AX55" s="1349"/>
      <c r="AY55" s="1349"/>
      <c r="AZ55" s="442"/>
      <c r="BA55" s="303"/>
      <c r="BC55" s="274">
        <v>43</v>
      </c>
      <c r="BD55" s="2402"/>
      <c r="BE55" s="1952"/>
      <c r="BF55" s="1511" t="s">
        <v>928</v>
      </c>
      <c r="BG55" s="1353"/>
      <c r="BH55" s="1353"/>
      <c r="BI55" s="1364">
        <v>43709</v>
      </c>
      <c r="BJ55" s="55">
        <v>820</v>
      </c>
      <c r="BK55" s="55"/>
      <c r="BL55" s="16"/>
      <c r="BM55" s="1355">
        <f t="shared" si="8"/>
        <v>22.5</v>
      </c>
      <c r="BN55" s="2403"/>
      <c r="BO55" s="16"/>
      <c r="BP55" s="1355"/>
      <c r="BQ55" s="16">
        <v>22.5</v>
      </c>
      <c r="BR55" s="1355"/>
      <c r="BS55" s="1355"/>
      <c r="BU55" s="2316"/>
      <c r="BV55" s="752"/>
      <c r="BW55" s="753">
        <v>886</v>
      </c>
      <c r="BX55" s="322">
        <v>-10</v>
      </c>
      <c r="BY55" s="890"/>
      <c r="BZ55" s="752"/>
      <c r="CA55" s="322">
        <v>-11</v>
      </c>
      <c r="CB55" s="888">
        <v>-11</v>
      </c>
      <c r="CC55" s="850"/>
      <c r="CD55" s="850"/>
      <c r="CE55" s="1005"/>
      <c r="CF55" s="2393"/>
      <c r="CG55" s="1158"/>
      <c r="CH55" s="2396"/>
    </row>
    <row r="56" spans="1:86" ht="17" hidden="1" thickBot="1" x14ac:dyDescent="0.25">
      <c r="A56" s="274">
        <v>56</v>
      </c>
      <c r="B56" s="1346"/>
      <c r="C56" s="102" t="s">
        <v>302</v>
      </c>
      <c r="D56" s="1388" t="s">
        <v>262</v>
      </c>
      <c r="E56" s="1389"/>
      <c r="F56" s="1390"/>
      <c r="G56" s="1389"/>
      <c r="H56" s="1390"/>
      <c r="I56" s="1391"/>
      <c r="J56" s="461"/>
      <c r="K56" s="461">
        <f>+J56*0.8</f>
        <v>0</v>
      </c>
      <c r="L56" s="461">
        <f>+K56*I56</f>
        <v>0</v>
      </c>
      <c r="M56" s="461">
        <f>+L56*0.2</f>
        <v>0</v>
      </c>
      <c r="N56" s="1960">
        <f>+M56+L56</f>
        <v>0</v>
      </c>
      <c r="O56" s="457"/>
      <c r="P56" s="1400"/>
      <c r="Q56" s="59"/>
      <c r="R56" s="64"/>
      <c r="S56" s="1347"/>
      <c r="T56" s="274">
        <v>26</v>
      </c>
      <c r="U56" s="51" t="s">
        <v>294</v>
      </c>
      <c r="V56" s="51"/>
      <c r="W56" s="449">
        <v>35</v>
      </c>
      <c r="X56" s="51">
        <v>3</v>
      </c>
      <c r="Y56" s="447">
        <f>+X56*W56</f>
        <v>105</v>
      </c>
      <c r="Z56" s="303">
        <f>-Y56*1.2</f>
        <v>-126</v>
      </c>
      <c r="AA56" s="56">
        <v>561</v>
      </c>
      <c r="AB56" s="455"/>
      <c r="AC56" s="1348"/>
      <c r="AD56" s="1388" t="s">
        <v>465</v>
      </c>
      <c r="AE56" s="303">
        <v>-126</v>
      </c>
      <c r="AN56" s="2">
        <v>18</v>
      </c>
      <c r="AO56" s="102" t="s">
        <v>302</v>
      </c>
      <c r="AP56" s="443" t="s">
        <v>262</v>
      </c>
      <c r="AQ56" s="51">
        <v>3</v>
      </c>
      <c r="AR56" s="449">
        <v>126</v>
      </c>
      <c r="AS56" s="443" t="s">
        <v>465</v>
      </c>
      <c r="AT56" s="450">
        <v>126</v>
      </c>
      <c r="AU56" s="303">
        <f>-97.38*1.2</f>
        <v>-116.85599999999999</v>
      </c>
      <c r="AV56" s="449">
        <v>1614.8719999999998</v>
      </c>
      <c r="AW56" s="12">
        <v>738</v>
      </c>
      <c r="AX56" s="1349">
        <v>43426</v>
      </c>
      <c r="AY56" s="1349" t="s">
        <v>705</v>
      </c>
      <c r="AZ56" s="442">
        <v>-90.53</v>
      </c>
      <c r="BA56" s="303"/>
      <c r="BC56" s="109">
        <v>44</v>
      </c>
      <c r="BD56" s="1961"/>
      <c r="BE56" s="1962" t="s">
        <v>798</v>
      </c>
      <c r="BF56" s="1522" t="s">
        <v>799</v>
      </c>
      <c r="BG56" s="1392"/>
      <c r="BH56" s="1392"/>
      <c r="BI56" s="1393">
        <v>43497</v>
      </c>
      <c r="BJ56" s="1394">
        <v>755</v>
      </c>
      <c r="BK56" s="1394">
        <v>4</v>
      </c>
      <c r="BL56" s="1395">
        <v>3.125</v>
      </c>
      <c r="BM56" s="1396">
        <f t="shared" si="8"/>
        <v>15</v>
      </c>
      <c r="BN56" s="2404"/>
      <c r="BO56" s="1395">
        <v>15</v>
      </c>
      <c r="BP56" s="1396"/>
      <c r="BQ56" s="1395"/>
      <c r="BR56" s="1396"/>
      <c r="BS56" s="1396"/>
      <c r="BU56" s="2405"/>
      <c r="BV56" s="759"/>
      <c r="BW56" s="760"/>
      <c r="BX56" s="900"/>
      <c r="BY56" s="901"/>
      <c r="BZ56" s="759"/>
      <c r="CA56" s="900"/>
      <c r="CB56" s="902"/>
      <c r="CC56" s="853"/>
      <c r="CD56" s="853"/>
      <c r="CE56" s="1006"/>
      <c r="CF56" s="2394"/>
      <c r="CG56" s="1159"/>
      <c r="CH56" s="2397"/>
    </row>
    <row r="57" spans="1:86" ht="16" hidden="1" x14ac:dyDescent="0.2">
      <c r="A57" s="1907">
        <v>57</v>
      </c>
      <c r="B57" s="1346"/>
      <c r="C57" s="102" t="s">
        <v>302</v>
      </c>
      <c r="D57" s="1388"/>
      <c r="E57" s="1389"/>
      <c r="F57" s="1390"/>
      <c r="G57" s="1389"/>
      <c r="H57" s="1390"/>
      <c r="I57" s="1391"/>
      <c r="J57" s="461"/>
      <c r="K57" s="461"/>
      <c r="L57" s="461"/>
      <c r="M57" s="461"/>
      <c r="N57" s="1960"/>
      <c r="O57" s="457"/>
      <c r="P57" s="1400"/>
      <c r="Q57" s="59"/>
      <c r="R57" s="64"/>
      <c r="S57" s="1347"/>
      <c r="U57" s="51"/>
      <c r="V57" s="51"/>
      <c r="W57" s="449"/>
      <c r="X57" s="51"/>
      <c r="Y57" s="447"/>
      <c r="Z57" s="303"/>
      <c r="AA57" s="56"/>
      <c r="AB57" s="455"/>
      <c r="AC57" s="1348"/>
      <c r="AD57" s="1388"/>
      <c r="AE57" s="303"/>
      <c r="AO57" s="102"/>
      <c r="AP57" s="443"/>
      <c r="AQ57" s="51"/>
      <c r="AR57" s="449"/>
      <c r="AS57" s="443"/>
      <c r="AT57" s="450"/>
      <c r="AU57" s="303"/>
      <c r="AV57" s="449"/>
      <c r="AW57" s="12">
        <v>665</v>
      </c>
      <c r="AX57" s="1349">
        <v>43154</v>
      </c>
      <c r="AY57" s="1349" t="s">
        <v>705</v>
      </c>
      <c r="AZ57" s="442">
        <v>-140.53</v>
      </c>
      <c r="BA57" s="303"/>
      <c r="BC57" s="274">
        <v>45</v>
      </c>
      <c r="BD57" s="1963">
        <v>730.89</v>
      </c>
      <c r="BE57" s="1964"/>
      <c r="BF57" s="1523" t="s">
        <v>303</v>
      </c>
      <c r="BG57" s="1397"/>
      <c r="BH57" s="1397">
        <f>+BH54*0.2</f>
        <v>126</v>
      </c>
      <c r="BI57" s="439"/>
      <c r="BJ57" s="1362"/>
      <c r="BK57" s="1362"/>
      <c r="BL57" s="680"/>
      <c r="BM57" s="681">
        <f>SUM(BM54:BM56)</f>
        <v>768.3</v>
      </c>
      <c r="BN57" s="682">
        <f>SUM(BN54)</f>
        <v>-37.409999999999968</v>
      </c>
      <c r="BO57" s="681">
        <f t="shared" ref="BO57:BS57" si="9">SUM(BO54:BO56)</f>
        <v>15</v>
      </c>
      <c r="BP57" s="681">
        <f t="shared" si="9"/>
        <v>0</v>
      </c>
      <c r="BQ57" s="681">
        <f t="shared" si="9"/>
        <v>753.3</v>
      </c>
      <c r="BR57" s="681">
        <f t="shared" si="9"/>
        <v>0</v>
      </c>
      <c r="BS57" s="681">
        <f t="shared" si="9"/>
        <v>0</v>
      </c>
      <c r="BU57" s="681">
        <f>SUM(BU54:BU56)</f>
        <v>775</v>
      </c>
      <c r="BV57" s="761"/>
      <c r="BW57" s="762"/>
      <c r="BX57" s="903">
        <f>SUM(BX54:BX56)</f>
        <v>-780.9</v>
      </c>
      <c r="BY57" s="904"/>
      <c r="BZ57" s="761"/>
      <c r="CA57" s="903">
        <f>SUM(CA54:CA56)</f>
        <v>-731</v>
      </c>
      <c r="CB57" s="905">
        <f>SUM(CB54:CB56)</f>
        <v>-875</v>
      </c>
      <c r="CC57" s="854"/>
      <c r="CD57" s="854"/>
      <c r="CE57" s="1007">
        <f>SUM(CE54:CE56)</f>
        <v>0</v>
      </c>
      <c r="CF57" s="906">
        <f t="shared" ref="CF57" si="10">SUM(CF54:CF56)</f>
        <v>0</v>
      </c>
      <c r="CG57" s="906"/>
      <c r="CH57" s="1524">
        <f>SUM(CH54:CH56)</f>
        <v>0</v>
      </c>
    </row>
    <row r="58" spans="1:86" x14ac:dyDescent="0.2">
      <c r="A58" s="274">
        <v>58</v>
      </c>
      <c r="B58" s="1346"/>
      <c r="C58" s="1398"/>
      <c r="D58" s="1388"/>
      <c r="E58" s="1389"/>
      <c r="F58" s="1390"/>
      <c r="G58" s="1389"/>
      <c r="H58" s="1390"/>
      <c r="I58" s="1391"/>
      <c r="J58" s="461"/>
      <c r="K58" s="461"/>
      <c r="L58" s="461"/>
      <c r="M58" s="461"/>
      <c r="N58" s="1960"/>
      <c r="O58" s="457"/>
      <c r="P58" s="1400"/>
      <c r="Q58" s="59"/>
      <c r="R58" s="64"/>
      <c r="S58" s="1347"/>
      <c r="U58" s="51"/>
      <c r="V58" s="51"/>
      <c r="W58" s="449"/>
      <c r="X58" s="51"/>
      <c r="Y58" s="447"/>
      <c r="Z58" s="303"/>
      <c r="AA58" s="56"/>
      <c r="AB58" s="455"/>
      <c r="AC58" s="1348"/>
      <c r="AD58" s="1388"/>
      <c r="AE58" s="303"/>
      <c r="AO58" s="102"/>
      <c r="AP58" s="443"/>
      <c r="AQ58" s="51"/>
      <c r="AR58" s="449"/>
      <c r="AS58" s="443"/>
      <c r="AT58" s="450"/>
      <c r="AU58" s="303"/>
      <c r="AV58" s="449"/>
      <c r="AW58" s="12"/>
      <c r="AX58" s="1349"/>
      <c r="AY58" s="1349"/>
      <c r="AZ58" s="442"/>
      <c r="BA58" s="303"/>
      <c r="BC58" s="274"/>
      <c r="BD58" s="1963"/>
      <c r="BE58" s="1964"/>
      <c r="BF58" s="1523"/>
      <c r="BG58" s="1397"/>
      <c r="BH58" s="1397"/>
      <c r="BI58" s="439"/>
      <c r="BJ58" s="1362"/>
      <c r="BK58" s="1362"/>
      <c r="BL58" s="680"/>
      <c r="BM58" s="681"/>
      <c r="BN58" s="682"/>
      <c r="BO58" s="681"/>
      <c r="BP58" s="681"/>
      <c r="BQ58" s="681"/>
      <c r="BR58" s="681"/>
      <c r="BS58" s="681"/>
      <c r="BU58" s="681"/>
      <c r="BV58" s="761"/>
      <c r="BW58" s="762"/>
      <c r="BX58" s="903"/>
      <c r="BY58" s="904"/>
      <c r="BZ58" s="761"/>
      <c r="CA58" s="903"/>
      <c r="CB58" s="905"/>
      <c r="CC58" s="854"/>
      <c r="CD58" s="1060"/>
      <c r="CE58" s="1000"/>
      <c r="CF58" s="1000"/>
      <c r="CG58" s="1000"/>
      <c r="CH58" s="1525"/>
    </row>
    <row r="59" spans="1:86" x14ac:dyDescent="0.2">
      <c r="A59" s="1907">
        <v>59</v>
      </c>
      <c r="B59" s="1346"/>
      <c r="C59" s="1398"/>
      <c r="D59" s="1388"/>
      <c r="E59" s="1389"/>
      <c r="F59" s="1390"/>
      <c r="G59" s="1389"/>
      <c r="H59" s="1390"/>
      <c r="I59" s="1391"/>
      <c r="J59" s="461"/>
      <c r="K59" s="461"/>
      <c r="L59" s="461"/>
      <c r="M59" s="461"/>
      <c r="N59" s="1960"/>
      <c r="O59" s="457"/>
      <c r="P59" s="1400"/>
      <c r="Q59" s="59"/>
      <c r="R59" s="64"/>
      <c r="S59" s="1347"/>
      <c r="U59" s="51"/>
      <c r="V59" s="51"/>
      <c r="W59" s="449"/>
      <c r="X59" s="51"/>
      <c r="Y59" s="447"/>
      <c r="Z59" s="303"/>
      <c r="AA59" s="56"/>
      <c r="AB59" s="455"/>
      <c r="AC59" s="1348"/>
      <c r="AD59" s="1388"/>
      <c r="AE59" s="303"/>
      <c r="AO59" s="102"/>
      <c r="AP59" s="443"/>
      <c r="AQ59" s="51"/>
      <c r="AR59" s="449"/>
      <c r="AS59" s="443"/>
      <c r="AT59" s="450"/>
      <c r="AU59" s="303"/>
      <c r="AV59" s="449"/>
      <c r="AW59" s="12"/>
      <c r="AX59" s="1349"/>
      <c r="AY59" s="1349"/>
      <c r="AZ59" s="442"/>
      <c r="BA59" s="303"/>
      <c r="BC59" s="274"/>
      <c r="BD59" s="1963"/>
      <c r="BE59" s="1964"/>
      <c r="BF59" s="1523"/>
      <c r="BG59" s="1397"/>
      <c r="BH59" s="1397"/>
      <c r="BI59" s="439"/>
      <c r="BJ59" s="1362"/>
      <c r="BK59" s="1362"/>
      <c r="BL59" s="680"/>
      <c r="BM59" s="681"/>
      <c r="BN59" s="682"/>
      <c r="BO59" s="681"/>
      <c r="BP59" s="681"/>
      <c r="BQ59" s="681"/>
      <c r="BR59" s="681"/>
      <c r="BS59" s="681"/>
      <c r="BU59" s="681"/>
      <c r="BV59" s="761"/>
      <c r="BW59" s="762"/>
      <c r="BX59" s="903"/>
      <c r="BY59" s="904"/>
      <c r="BZ59" s="761"/>
      <c r="CA59" s="903"/>
      <c r="CB59" s="905"/>
      <c r="CC59" s="854"/>
      <c r="CD59" s="1060"/>
      <c r="CE59" s="1000"/>
      <c r="CF59" s="1000"/>
      <c r="CG59" s="1000"/>
      <c r="CH59" s="1525"/>
    </row>
    <row r="60" spans="1:86" x14ac:dyDescent="0.2">
      <c r="A60" s="274">
        <v>60</v>
      </c>
      <c r="B60" s="1346"/>
      <c r="C60" s="1398"/>
      <c r="D60" s="1388"/>
      <c r="E60" s="1389"/>
      <c r="F60" s="1390"/>
      <c r="G60" s="1389"/>
      <c r="H60" s="1390"/>
      <c r="I60" s="1391"/>
      <c r="J60" s="461"/>
      <c r="K60" s="461"/>
      <c r="L60" s="461"/>
      <c r="M60" s="461"/>
      <c r="N60" s="1960"/>
      <c r="O60" s="457"/>
      <c r="P60" s="1400"/>
      <c r="Q60" s="59"/>
      <c r="R60" s="64"/>
      <c r="S60" s="1347"/>
      <c r="U60" s="51"/>
      <c r="V60" s="51"/>
      <c r="W60" s="449"/>
      <c r="X60" s="51"/>
      <c r="Y60" s="447"/>
      <c r="Z60" s="303"/>
      <c r="AA60" s="56"/>
      <c r="AB60" s="455"/>
      <c r="AC60" s="1348"/>
      <c r="AD60" s="1388"/>
      <c r="AE60" s="303"/>
      <c r="AO60" s="102"/>
      <c r="AP60" s="443"/>
      <c r="AQ60" s="51"/>
      <c r="AR60" s="449"/>
      <c r="AS60" s="443"/>
      <c r="AT60" s="450"/>
      <c r="AU60" s="303"/>
      <c r="AV60" s="449"/>
      <c r="AW60" s="12"/>
      <c r="AX60" s="1349"/>
      <c r="AY60" s="1349"/>
      <c r="AZ60" s="442"/>
      <c r="BA60" s="303"/>
      <c r="BC60" s="274"/>
      <c r="BD60" s="1963"/>
      <c r="BE60" s="1964"/>
      <c r="BF60" s="1526" t="s">
        <v>992</v>
      </c>
      <c r="BG60" s="1399"/>
      <c r="BH60" s="1399"/>
      <c r="BI60" s="1400"/>
      <c r="BJ60" s="64"/>
      <c r="BK60" s="64"/>
      <c r="BL60" s="1230"/>
      <c r="BM60" s="1231"/>
      <c r="BN60" s="1232"/>
      <c r="BO60" s="1231"/>
      <c r="BP60" s="1231"/>
      <c r="BQ60" s="1231"/>
      <c r="BR60" s="1231"/>
      <c r="BS60" s="1231"/>
      <c r="BU60" s="1231"/>
      <c r="BV60" s="1233"/>
      <c r="BW60" s="1234"/>
      <c r="BX60" s="1235"/>
      <c r="BY60" s="1236"/>
      <c r="BZ60" s="1233"/>
      <c r="CA60" s="1235"/>
      <c r="CB60" s="1237"/>
      <c r="CC60" s="1238"/>
      <c r="CD60" s="1239" t="s">
        <v>1163</v>
      </c>
      <c r="CE60" s="1000">
        <v>-3636</v>
      </c>
      <c r="CF60" s="1000">
        <v>-9417</v>
      </c>
      <c r="CG60" s="1000"/>
      <c r="CH60" s="1525"/>
    </row>
    <row r="61" spans="1:86" x14ac:dyDescent="0.2">
      <c r="A61" s="1907">
        <v>61</v>
      </c>
      <c r="B61" s="1346"/>
      <c r="C61" s="1398"/>
      <c r="D61" s="1388"/>
      <c r="E61" s="1389"/>
      <c r="F61" s="1390"/>
      <c r="G61" s="1389"/>
      <c r="H61" s="1390"/>
      <c r="I61" s="1391"/>
      <c r="J61" s="461"/>
      <c r="K61" s="461"/>
      <c r="L61" s="461"/>
      <c r="M61" s="461"/>
      <c r="N61" s="1960"/>
      <c r="O61" s="457"/>
      <c r="P61" s="1400"/>
      <c r="Q61" s="59"/>
      <c r="R61" s="64"/>
      <c r="S61" s="1347"/>
      <c r="U61" s="51"/>
      <c r="V61" s="51"/>
      <c r="W61" s="449"/>
      <c r="X61" s="51"/>
      <c r="Y61" s="447"/>
      <c r="Z61" s="303"/>
      <c r="AA61" s="56"/>
      <c r="AB61" s="455"/>
      <c r="AC61" s="1348"/>
      <c r="AD61" s="1388"/>
      <c r="AE61" s="303"/>
      <c r="AO61" s="102"/>
      <c r="AP61" s="443"/>
      <c r="AQ61" s="51"/>
      <c r="AR61" s="449"/>
      <c r="AS61" s="443"/>
      <c r="AT61" s="450"/>
      <c r="AU61" s="303"/>
      <c r="AV61" s="449"/>
      <c r="AW61" s="12"/>
      <c r="AX61" s="1349"/>
      <c r="AY61" s="1349"/>
      <c r="AZ61" s="442"/>
      <c r="BA61" s="303"/>
      <c r="BC61" s="274"/>
      <c r="BD61" s="1963"/>
      <c r="BE61" s="1964"/>
      <c r="BF61" s="1527" t="s">
        <v>1074</v>
      </c>
      <c r="BG61" s="675"/>
      <c r="BH61" s="675">
        <f>SUM(BH37:BH40)</f>
        <v>0</v>
      </c>
      <c r="BI61" s="683"/>
      <c r="BJ61" s="55"/>
      <c r="BK61" s="295"/>
      <c r="BL61" s="682"/>
      <c r="BM61" s="688">
        <v>-936</v>
      </c>
      <c r="BN61" s="682"/>
      <c r="BO61" s="682"/>
      <c r="BP61" s="684"/>
      <c r="BQ61" s="682"/>
      <c r="BR61" s="684"/>
      <c r="BS61" s="684"/>
      <c r="BU61" s="684"/>
      <c r="BV61" s="763"/>
      <c r="BW61" s="753"/>
      <c r="BX61" s="322"/>
      <c r="BY61" s="890"/>
      <c r="BZ61" s="752"/>
      <c r="CA61" s="322"/>
      <c r="CB61" s="888"/>
      <c r="CC61" s="852"/>
      <c r="CD61" s="1060"/>
      <c r="CE61" s="997">
        <v>-633</v>
      </c>
      <c r="CF61" s="1000"/>
      <c r="CG61" s="1000"/>
      <c r="CH61" s="1525"/>
    </row>
    <row r="62" spans="1:86" x14ac:dyDescent="0.2">
      <c r="A62" s="274">
        <v>62</v>
      </c>
      <c r="B62" s="1346"/>
      <c r="C62" s="1398"/>
      <c r="D62" s="1388"/>
      <c r="E62" s="1389"/>
      <c r="F62" s="1390"/>
      <c r="G62" s="1389"/>
      <c r="H62" s="1390"/>
      <c r="I62" s="1391"/>
      <c r="J62" s="461"/>
      <c r="K62" s="461"/>
      <c r="L62" s="461"/>
      <c r="M62" s="461"/>
      <c r="N62" s="1960"/>
      <c r="O62" s="457"/>
      <c r="P62" s="1400"/>
      <c r="Q62" s="59"/>
      <c r="R62" s="64"/>
      <c r="S62" s="1347"/>
      <c r="U62" s="51"/>
      <c r="V62" s="51"/>
      <c r="W62" s="449"/>
      <c r="X62" s="51"/>
      <c r="Y62" s="447"/>
      <c r="Z62" s="303"/>
      <c r="AA62" s="56"/>
      <c r="AB62" s="455"/>
      <c r="AC62" s="1348"/>
      <c r="AD62" s="1388"/>
      <c r="AE62" s="303"/>
      <c r="AO62" s="102"/>
      <c r="AP62" s="443"/>
      <c r="AQ62" s="51"/>
      <c r="AR62" s="449"/>
      <c r="AS62" s="443"/>
      <c r="AT62" s="450"/>
      <c r="AU62" s="303"/>
      <c r="AV62" s="449"/>
      <c r="AW62" s="12"/>
      <c r="AX62" s="1349"/>
      <c r="AY62" s="1349"/>
      <c r="AZ62" s="442"/>
      <c r="BA62" s="303"/>
      <c r="BC62" s="274"/>
      <c r="BD62" s="1963"/>
      <c r="BE62" s="1964"/>
      <c r="BF62" s="1528" t="s">
        <v>1153</v>
      </c>
      <c r="BG62" s="1166"/>
      <c r="BH62" s="1166"/>
      <c r="BI62" s="447"/>
      <c r="BJ62" s="55"/>
      <c r="BK62" s="55"/>
      <c r="BL62" s="682"/>
      <c r="BM62" s="684"/>
      <c r="BN62" s="682"/>
      <c r="BO62" s="684"/>
      <c r="BP62" s="684"/>
      <c r="BQ62" s="684"/>
      <c r="BR62" s="684"/>
      <c r="BS62" s="684"/>
      <c r="BT62" s="12"/>
      <c r="BU62" s="684"/>
      <c r="BV62" s="820"/>
      <c r="BW62" s="820"/>
      <c r="BX62" s="887"/>
      <c r="BY62" s="1241"/>
      <c r="BZ62" s="820"/>
      <c r="CA62" s="887"/>
      <c r="CB62" s="887"/>
      <c r="CC62" s="820"/>
      <c r="CD62" s="1243">
        <v>-449.4</v>
      </c>
      <c r="CE62" s="1000"/>
      <c r="CF62" s="1000"/>
      <c r="CG62" s="2389">
        <f>SUM(CD62:CD69)</f>
        <v>-10027.66</v>
      </c>
      <c r="CH62" s="1525"/>
    </row>
    <row r="63" spans="1:86" x14ac:dyDescent="0.2">
      <c r="A63" s="1907">
        <v>63</v>
      </c>
      <c r="B63" s="1346"/>
      <c r="C63" s="1398"/>
      <c r="D63" s="1388"/>
      <c r="E63" s="1389"/>
      <c r="F63" s="1390"/>
      <c r="G63" s="1389"/>
      <c r="H63" s="1390"/>
      <c r="I63" s="1391"/>
      <c r="J63" s="461"/>
      <c r="K63" s="461"/>
      <c r="L63" s="461"/>
      <c r="M63" s="461"/>
      <c r="N63" s="1960"/>
      <c r="O63" s="457"/>
      <c r="P63" s="1400"/>
      <c r="Q63" s="59"/>
      <c r="R63" s="64"/>
      <c r="S63" s="1347"/>
      <c r="U63" s="51"/>
      <c r="V63" s="51"/>
      <c r="W63" s="449"/>
      <c r="X63" s="51"/>
      <c r="Y63" s="447"/>
      <c r="Z63" s="303"/>
      <c r="AA63" s="56"/>
      <c r="AB63" s="455"/>
      <c r="AC63" s="1348"/>
      <c r="AD63" s="1388"/>
      <c r="AE63" s="303"/>
      <c r="AO63" s="102"/>
      <c r="AP63" s="443"/>
      <c r="AQ63" s="51"/>
      <c r="AR63" s="449"/>
      <c r="AS63" s="443"/>
      <c r="AT63" s="450"/>
      <c r="AU63" s="303"/>
      <c r="AV63" s="449"/>
      <c r="AW63" s="12"/>
      <c r="AX63" s="1349"/>
      <c r="AY63" s="1349"/>
      <c r="AZ63" s="442"/>
      <c r="BA63" s="303"/>
      <c r="BC63" s="274"/>
      <c r="BD63" s="1963"/>
      <c r="BE63" s="1964"/>
      <c r="BF63" s="1528" t="s">
        <v>1154</v>
      </c>
      <c r="BG63" s="1229"/>
      <c r="BH63" s="1229"/>
      <c r="BI63" s="683"/>
      <c r="BJ63" s="55"/>
      <c r="BK63" s="295"/>
      <c r="BL63" s="682"/>
      <c r="BM63" s="688"/>
      <c r="BN63" s="682"/>
      <c r="BO63" s="682"/>
      <c r="BP63" s="684"/>
      <c r="BQ63" s="682"/>
      <c r="BR63" s="684"/>
      <c r="BS63" s="684"/>
      <c r="BT63" s="12"/>
      <c r="BU63" s="684"/>
      <c r="BV63" s="820"/>
      <c r="BW63" s="753"/>
      <c r="BX63" s="322"/>
      <c r="BY63" s="1242"/>
      <c r="BZ63" s="753"/>
      <c r="CA63" s="322"/>
      <c r="CB63" s="322"/>
      <c r="CC63" s="753"/>
      <c r="CD63" s="1244">
        <v>-741.24</v>
      </c>
      <c r="CE63" s="1000"/>
      <c r="CF63" s="1000"/>
      <c r="CG63" s="2390"/>
      <c r="CH63" s="1525"/>
    </row>
    <row r="64" spans="1:86" x14ac:dyDescent="0.2">
      <c r="A64" s="274">
        <v>64</v>
      </c>
      <c r="B64" s="1346"/>
      <c r="C64" s="1398"/>
      <c r="D64" s="1388"/>
      <c r="E64" s="1389"/>
      <c r="F64" s="1390"/>
      <c r="G64" s="1389"/>
      <c r="H64" s="1390"/>
      <c r="I64" s="1391"/>
      <c r="J64" s="461"/>
      <c r="K64" s="461"/>
      <c r="L64" s="461"/>
      <c r="M64" s="461"/>
      <c r="N64" s="1960"/>
      <c r="O64" s="457"/>
      <c r="P64" s="1400"/>
      <c r="Q64" s="59"/>
      <c r="R64" s="64"/>
      <c r="S64" s="1347"/>
      <c r="U64" s="51"/>
      <c r="V64" s="51"/>
      <c r="W64" s="449"/>
      <c r="X64" s="51"/>
      <c r="Y64" s="447"/>
      <c r="Z64" s="303"/>
      <c r="AA64" s="56"/>
      <c r="AB64" s="455"/>
      <c r="AC64" s="1348"/>
      <c r="AD64" s="1388"/>
      <c r="AE64" s="303"/>
      <c r="AO64" s="102"/>
      <c r="AP64" s="443"/>
      <c r="AQ64" s="51"/>
      <c r="AR64" s="449"/>
      <c r="AS64" s="443"/>
      <c r="AT64" s="450"/>
      <c r="AU64" s="303"/>
      <c r="AV64" s="449"/>
      <c r="AW64" s="12"/>
      <c r="AX64" s="1349"/>
      <c r="AY64" s="1349"/>
      <c r="AZ64" s="442"/>
      <c r="BA64" s="303"/>
      <c r="BC64" s="274"/>
      <c r="BD64" s="1963"/>
      <c r="BE64" s="1964"/>
      <c r="BF64" s="1528" t="s">
        <v>1155</v>
      </c>
      <c r="BG64" s="1166"/>
      <c r="BH64" s="1166"/>
      <c r="BI64" s="447"/>
      <c r="BJ64" s="55"/>
      <c r="BK64" s="55"/>
      <c r="BL64" s="682"/>
      <c r="BM64" s="684"/>
      <c r="BN64" s="682"/>
      <c r="BO64" s="684"/>
      <c r="BP64" s="684"/>
      <c r="BQ64" s="684"/>
      <c r="BR64" s="684"/>
      <c r="BS64" s="684"/>
      <c r="BT64" s="12"/>
      <c r="BU64" s="684"/>
      <c r="BV64" s="820"/>
      <c r="BW64" s="820"/>
      <c r="BX64" s="887"/>
      <c r="BY64" s="1241"/>
      <c r="BZ64" s="820"/>
      <c r="CA64" s="887"/>
      <c r="CB64" s="887"/>
      <c r="CC64" s="820"/>
      <c r="CD64" s="1243">
        <v>-730.2</v>
      </c>
      <c r="CE64" s="1000"/>
      <c r="CF64" s="1000"/>
      <c r="CG64" s="2390"/>
      <c r="CH64" s="1525"/>
    </row>
    <row r="65" spans="1:86" x14ac:dyDescent="0.2">
      <c r="A65" s="1907">
        <v>65</v>
      </c>
      <c r="B65" s="1346"/>
      <c r="C65" s="1398"/>
      <c r="D65" s="1388"/>
      <c r="E65" s="1389"/>
      <c r="F65" s="1390"/>
      <c r="G65" s="1389"/>
      <c r="H65" s="1390"/>
      <c r="I65" s="1391"/>
      <c r="J65" s="461"/>
      <c r="K65" s="461"/>
      <c r="L65" s="461"/>
      <c r="M65" s="461"/>
      <c r="N65" s="1960"/>
      <c r="O65" s="457"/>
      <c r="P65" s="1400"/>
      <c r="Q65" s="59"/>
      <c r="R65" s="64"/>
      <c r="S65" s="1347"/>
      <c r="U65" s="51"/>
      <c r="V65" s="51"/>
      <c r="W65" s="449"/>
      <c r="X65" s="51"/>
      <c r="Y65" s="447"/>
      <c r="Z65" s="303"/>
      <c r="AA65" s="56"/>
      <c r="AB65" s="455"/>
      <c r="AC65" s="1348"/>
      <c r="AD65" s="1388"/>
      <c r="AE65" s="303"/>
      <c r="AO65" s="102"/>
      <c r="AP65" s="443"/>
      <c r="AQ65" s="51"/>
      <c r="AR65" s="449"/>
      <c r="AS65" s="443"/>
      <c r="AT65" s="450"/>
      <c r="AU65" s="303"/>
      <c r="AV65" s="449"/>
      <c r="AW65" s="12"/>
      <c r="AX65" s="1349"/>
      <c r="AY65" s="1349"/>
      <c r="AZ65" s="442"/>
      <c r="BA65" s="303"/>
      <c r="BC65" s="274"/>
      <c r="BD65" s="1963"/>
      <c r="BE65" s="1964"/>
      <c r="BF65" s="1528" t="s">
        <v>1157</v>
      </c>
      <c r="BG65" s="1166"/>
      <c r="BH65" s="1166"/>
      <c r="BI65" s="447"/>
      <c r="BJ65" s="55"/>
      <c r="BK65" s="55"/>
      <c r="BL65" s="682"/>
      <c r="BM65" s="684"/>
      <c r="BN65" s="682"/>
      <c r="BO65" s="684"/>
      <c r="BP65" s="684"/>
      <c r="BQ65" s="684"/>
      <c r="BR65" s="684"/>
      <c r="BS65" s="684"/>
      <c r="BT65" s="12"/>
      <c r="BU65" s="684"/>
      <c r="BV65" s="820"/>
      <c r="BW65" s="820"/>
      <c r="BX65" s="887"/>
      <c r="BY65" s="1241"/>
      <c r="BZ65" s="820"/>
      <c r="CA65" s="887"/>
      <c r="CB65" s="887"/>
      <c r="CC65" s="820"/>
      <c r="CD65" s="1243">
        <v>-430.92</v>
      </c>
      <c r="CE65" s="1000"/>
      <c r="CF65" s="1000"/>
      <c r="CG65" s="2390"/>
      <c r="CH65" s="1525"/>
    </row>
    <row r="66" spans="1:86" x14ac:dyDescent="0.2">
      <c r="A66" s="274">
        <v>66</v>
      </c>
      <c r="B66" s="1346"/>
      <c r="C66" s="1398"/>
      <c r="D66" s="1388"/>
      <c r="E66" s="1389"/>
      <c r="F66" s="1390"/>
      <c r="G66" s="1389"/>
      <c r="H66" s="1390"/>
      <c r="I66" s="1391"/>
      <c r="J66" s="461"/>
      <c r="K66" s="461"/>
      <c r="L66" s="461"/>
      <c r="M66" s="461"/>
      <c r="N66" s="1960"/>
      <c r="O66" s="457"/>
      <c r="P66" s="1400"/>
      <c r="Q66" s="59"/>
      <c r="R66" s="64"/>
      <c r="S66" s="1347"/>
      <c r="U66" s="51"/>
      <c r="V66" s="51"/>
      <c r="W66" s="449"/>
      <c r="X66" s="51"/>
      <c r="Y66" s="447"/>
      <c r="Z66" s="303"/>
      <c r="AA66" s="56"/>
      <c r="AB66" s="455"/>
      <c r="AC66" s="1348"/>
      <c r="AD66" s="1388"/>
      <c r="AE66" s="303"/>
      <c r="AO66" s="102"/>
      <c r="AP66" s="443"/>
      <c r="AQ66" s="51"/>
      <c r="AR66" s="449"/>
      <c r="AS66" s="443"/>
      <c r="AT66" s="450"/>
      <c r="AU66" s="303"/>
      <c r="AV66" s="449"/>
      <c r="AW66" s="12"/>
      <c r="AX66" s="1349"/>
      <c r="AY66" s="1349"/>
      <c r="AZ66" s="442"/>
      <c r="BA66" s="303"/>
      <c r="BC66" s="274"/>
      <c r="BD66" s="1963"/>
      <c r="BE66" s="1964"/>
      <c r="BF66" s="1528" t="s">
        <v>1158</v>
      </c>
      <c r="BG66" s="1166"/>
      <c r="BH66" s="1166"/>
      <c r="BI66" s="447"/>
      <c r="BJ66" s="55"/>
      <c r="BK66" s="55"/>
      <c r="BL66" s="682"/>
      <c r="BM66" s="684"/>
      <c r="BN66" s="682"/>
      <c r="BO66" s="684"/>
      <c r="BP66" s="684"/>
      <c r="BQ66" s="684"/>
      <c r="BR66" s="684"/>
      <c r="BS66" s="684"/>
      <c r="BT66" s="12"/>
      <c r="BU66" s="684"/>
      <c r="BV66" s="820"/>
      <c r="BW66" s="820"/>
      <c r="BX66" s="887"/>
      <c r="BY66" s="1241"/>
      <c r="BZ66" s="820"/>
      <c r="CA66" s="887"/>
      <c r="CB66" s="887"/>
      <c r="CC66" s="820"/>
      <c r="CD66" s="1244">
        <v>-665.8</v>
      </c>
      <c r="CE66" s="1000"/>
      <c r="CF66" s="1000"/>
      <c r="CG66" s="2390"/>
      <c r="CH66" s="1525"/>
    </row>
    <row r="67" spans="1:86" x14ac:dyDescent="0.2">
      <c r="A67" s="1907">
        <v>67</v>
      </c>
      <c r="B67" s="1346"/>
      <c r="C67" s="1398"/>
      <c r="D67" s="1388"/>
      <c r="E67" s="1389"/>
      <c r="F67" s="1390"/>
      <c r="G67" s="1389"/>
      <c r="H67" s="1390"/>
      <c r="I67" s="1391"/>
      <c r="J67" s="461"/>
      <c r="K67" s="461"/>
      <c r="L67" s="461"/>
      <c r="M67" s="461"/>
      <c r="N67" s="1960"/>
      <c r="O67" s="457"/>
      <c r="P67" s="1400"/>
      <c r="Q67" s="59"/>
      <c r="R67" s="64"/>
      <c r="S67" s="1347"/>
      <c r="U67" s="51"/>
      <c r="V67" s="51"/>
      <c r="W67" s="449"/>
      <c r="X67" s="51"/>
      <c r="Y67" s="447"/>
      <c r="Z67" s="303"/>
      <c r="AA67" s="56"/>
      <c r="AB67" s="455"/>
      <c r="AC67" s="1348"/>
      <c r="AD67" s="1388"/>
      <c r="AE67" s="303"/>
      <c r="AO67" s="102"/>
      <c r="AP67" s="443"/>
      <c r="AQ67" s="51"/>
      <c r="AR67" s="449"/>
      <c r="AS67" s="443"/>
      <c r="AT67" s="450"/>
      <c r="AU67" s="303"/>
      <c r="AV67" s="449"/>
      <c r="AW67" s="12"/>
      <c r="AX67" s="1349"/>
      <c r="AY67" s="1349"/>
      <c r="AZ67" s="442"/>
      <c r="BA67" s="303"/>
      <c r="BC67" s="274"/>
      <c r="BD67" s="1963"/>
      <c r="BE67" s="1964"/>
      <c r="BF67" s="1528" t="s">
        <v>1160</v>
      </c>
      <c r="BG67" s="1166"/>
      <c r="BH67" s="1166"/>
      <c r="BI67" s="447"/>
      <c r="BJ67" s="55"/>
      <c r="BK67" s="55"/>
      <c r="BL67" s="682"/>
      <c r="BM67" s="684"/>
      <c r="BN67" s="682"/>
      <c r="BO67" s="684"/>
      <c r="BP67" s="684"/>
      <c r="BQ67" s="684"/>
      <c r="BR67" s="684"/>
      <c r="BS67" s="684"/>
      <c r="BT67" s="12"/>
      <c r="BU67" s="684"/>
      <c r="BV67" s="820"/>
      <c r="BW67" s="820"/>
      <c r="BX67" s="887"/>
      <c r="BY67" s="1241"/>
      <c r="BZ67" s="820"/>
      <c r="CA67" s="887"/>
      <c r="CB67" s="887"/>
      <c r="CC67" s="820"/>
      <c r="CD67" s="1244">
        <v>-2452.8000000000002</v>
      </c>
      <c r="CE67" s="1000"/>
      <c r="CF67" s="1000"/>
      <c r="CG67" s="2390"/>
      <c r="CH67" s="1525"/>
    </row>
    <row r="68" spans="1:86" x14ac:dyDescent="0.2">
      <c r="A68" s="274">
        <v>68</v>
      </c>
      <c r="B68" s="1346"/>
      <c r="C68" s="1398"/>
      <c r="D68" s="1388"/>
      <c r="E68" s="1389"/>
      <c r="F68" s="1390"/>
      <c r="G68" s="1389"/>
      <c r="H68" s="1390"/>
      <c r="I68" s="1391"/>
      <c r="J68" s="461"/>
      <c r="K68" s="461"/>
      <c r="L68" s="461"/>
      <c r="M68" s="461"/>
      <c r="N68" s="1960"/>
      <c r="O68" s="457"/>
      <c r="P68" s="1400"/>
      <c r="Q68" s="59"/>
      <c r="R68" s="64"/>
      <c r="S68" s="1347"/>
      <c r="U68" s="51"/>
      <c r="V68" s="51"/>
      <c r="W68" s="449"/>
      <c r="X68" s="51"/>
      <c r="Y68" s="447"/>
      <c r="Z68" s="303"/>
      <c r="AA68" s="56"/>
      <c r="AB68" s="455"/>
      <c r="AC68" s="1348"/>
      <c r="AD68" s="1388"/>
      <c r="AE68" s="303"/>
      <c r="AO68" s="102"/>
      <c r="AP68" s="443"/>
      <c r="AQ68" s="51"/>
      <c r="AR68" s="449"/>
      <c r="AS68" s="443"/>
      <c r="AT68" s="450"/>
      <c r="AU68" s="303"/>
      <c r="AV68" s="449"/>
      <c r="AW68" s="12"/>
      <c r="AX68" s="1349"/>
      <c r="AY68" s="1349"/>
      <c r="AZ68" s="442"/>
      <c r="BA68" s="303"/>
      <c r="BC68" s="274"/>
      <c r="BD68" s="1963"/>
      <c r="BE68" s="1964"/>
      <c r="BF68" s="1528" t="s">
        <v>1161</v>
      </c>
      <c r="BG68" s="1166"/>
      <c r="BH68" s="1166"/>
      <c r="BI68" s="447"/>
      <c r="BJ68" s="55"/>
      <c r="BK68" s="55"/>
      <c r="BL68" s="682"/>
      <c r="BM68" s="684"/>
      <c r="BN68" s="682"/>
      <c r="BO68" s="684"/>
      <c r="BP68" s="684"/>
      <c r="BQ68" s="684"/>
      <c r="BR68" s="684"/>
      <c r="BS68" s="684"/>
      <c r="BT68" s="12"/>
      <c r="BU68" s="684"/>
      <c r="BV68" s="820"/>
      <c r="BW68" s="820"/>
      <c r="BX68" s="887"/>
      <c r="BY68" s="1241"/>
      <c r="BZ68" s="820"/>
      <c r="CA68" s="887"/>
      <c r="CB68" s="887"/>
      <c r="CC68" s="820"/>
      <c r="CD68" s="1243">
        <v>-4056.3</v>
      </c>
      <c r="CE68" s="1000"/>
      <c r="CF68" s="1000"/>
      <c r="CG68" s="2390"/>
      <c r="CH68" s="1525"/>
    </row>
    <row r="69" spans="1:86" x14ac:dyDescent="0.2">
      <c r="A69" s="1907">
        <v>69</v>
      </c>
      <c r="B69" s="1346"/>
      <c r="C69" s="1398"/>
      <c r="D69" s="1388"/>
      <c r="E69" s="1389"/>
      <c r="F69" s="1390"/>
      <c r="G69" s="1389"/>
      <c r="H69" s="1390"/>
      <c r="I69" s="1391"/>
      <c r="J69" s="461"/>
      <c r="K69" s="461"/>
      <c r="L69" s="461"/>
      <c r="M69" s="461"/>
      <c r="N69" s="1960"/>
      <c r="O69" s="457"/>
      <c r="P69" s="1400"/>
      <c r="Q69" s="59"/>
      <c r="R69" s="64"/>
      <c r="S69" s="1347"/>
      <c r="U69" s="51"/>
      <c r="V69" s="51"/>
      <c r="W69" s="449"/>
      <c r="X69" s="51"/>
      <c r="Y69" s="447"/>
      <c r="Z69" s="303"/>
      <c r="AA69" s="56"/>
      <c r="AB69" s="455"/>
      <c r="AC69" s="1348"/>
      <c r="AD69" s="1388"/>
      <c r="AE69" s="303"/>
      <c r="AO69" s="102"/>
      <c r="AP69" s="443"/>
      <c r="AQ69" s="51"/>
      <c r="AR69" s="449"/>
      <c r="AS69" s="443"/>
      <c r="AT69" s="450"/>
      <c r="AU69" s="303"/>
      <c r="AV69" s="449"/>
      <c r="AW69" s="12"/>
      <c r="AX69" s="1349"/>
      <c r="AY69" s="1349"/>
      <c r="AZ69" s="442"/>
      <c r="BA69" s="303"/>
      <c r="BC69" s="274"/>
      <c r="BD69" s="1963"/>
      <c r="BE69" s="1964"/>
      <c r="BF69" s="1528" t="s">
        <v>1162</v>
      </c>
      <c r="BG69" s="1166"/>
      <c r="BH69" s="1166"/>
      <c r="BI69" s="447"/>
      <c r="BJ69" s="55"/>
      <c r="BK69" s="55"/>
      <c r="BL69" s="682"/>
      <c r="BM69" s="684"/>
      <c r="BN69" s="682"/>
      <c r="BO69" s="684"/>
      <c r="BP69" s="684"/>
      <c r="BQ69" s="684"/>
      <c r="BR69" s="684"/>
      <c r="BS69" s="684"/>
      <c r="BT69" s="12"/>
      <c r="BU69" s="684"/>
      <c r="BV69" s="820"/>
      <c r="BW69" s="820"/>
      <c r="BX69" s="887"/>
      <c r="BY69" s="1241"/>
      <c r="BZ69" s="820"/>
      <c r="CA69" s="887"/>
      <c r="CB69" s="887"/>
      <c r="CC69" s="820"/>
      <c r="CD69" s="1244">
        <v>-501</v>
      </c>
      <c r="CE69" s="1000"/>
      <c r="CF69" s="1000"/>
      <c r="CG69" s="2391"/>
      <c r="CH69" s="1525"/>
    </row>
    <row r="70" spans="1:86" x14ac:dyDescent="0.2">
      <c r="A70" s="274">
        <v>70</v>
      </c>
      <c r="B70" s="1346"/>
      <c r="C70" s="1398"/>
      <c r="D70" s="1388"/>
      <c r="E70" s="1389"/>
      <c r="F70" s="1390"/>
      <c r="G70" s="1389"/>
      <c r="H70" s="1390"/>
      <c r="I70" s="1391"/>
      <c r="J70" s="461"/>
      <c r="K70" s="461"/>
      <c r="L70" s="461"/>
      <c r="M70" s="461"/>
      <c r="N70" s="1960"/>
      <c r="O70" s="457"/>
      <c r="P70" s="1400"/>
      <c r="Q70" s="59"/>
      <c r="R70" s="64"/>
      <c r="S70" s="1347"/>
      <c r="U70" s="51"/>
      <c r="V70" s="51"/>
      <c r="W70" s="449"/>
      <c r="X70" s="51"/>
      <c r="Y70" s="447"/>
      <c r="Z70" s="303"/>
      <c r="AA70" s="56"/>
      <c r="AB70" s="455"/>
      <c r="AC70" s="1348"/>
      <c r="AD70" s="1388"/>
      <c r="AE70" s="303"/>
      <c r="AO70" s="102"/>
      <c r="AP70" s="443"/>
      <c r="AQ70" s="51"/>
      <c r="AR70" s="449"/>
      <c r="AS70" s="443"/>
      <c r="AT70" s="450"/>
      <c r="AU70" s="303"/>
      <c r="AV70" s="449"/>
      <c r="AW70" s="12"/>
      <c r="AX70" s="1349"/>
      <c r="AY70" s="1349"/>
      <c r="AZ70" s="442"/>
      <c r="BA70" s="303"/>
      <c r="BC70" s="274"/>
      <c r="BD70" s="1963"/>
      <c r="BE70" s="1964"/>
      <c r="BF70" s="1529"/>
      <c r="BG70" s="1399"/>
      <c r="BH70" s="1399"/>
      <c r="BI70" s="1400"/>
      <c r="BJ70" s="64"/>
      <c r="BK70" s="64"/>
      <c r="BL70" s="1230"/>
      <c r="BM70" s="1231"/>
      <c r="BN70" s="1230"/>
      <c r="BO70" s="1231"/>
      <c r="BP70" s="1231"/>
      <c r="BQ70" s="1231"/>
      <c r="BR70" s="1231"/>
      <c r="BS70" s="1231"/>
      <c r="BU70" s="1231"/>
      <c r="BV70" s="1233"/>
      <c r="BW70" s="1234"/>
      <c r="BX70" s="1235"/>
      <c r="BY70" s="1236"/>
      <c r="BZ70" s="1233"/>
      <c r="CA70" s="1235"/>
      <c r="CB70" s="1237"/>
      <c r="CC70" s="1238"/>
      <c r="CD70" s="1245"/>
      <c r="CE70" s="1000"/>
      <c r="CF70" s="1000"/>
      <c r="CG70" s="1000"/>
      <c r="CH70" s="1525"/>
    </row>
    <row r="71" spans="1:86" x14ac:dyDescent="0.2">
      <c r="A71" s="1907">
        <v>71</v>
      </c>
      <c r="B71" s="1346"/>
      <c r="C71" s="1398"/>
      <c r="D71" s="1388"/>
      <c r="E71" s="1389"/>
      <c r="F71" s="1390"/>
      <c r="G71" s="1389"/>
      <c r="H71" s="1390"/>
      <c r="I71" s="1391"/>
      <c r="J71" s="461"/>
      <c r="K71" s="461"/>
      <c r="L71" s="461"/>
      <c r="M71" s="461"/>
      <c r="N71" s="1960"/>
      <c r="O71" s="457"/>
      <c r="P71" s="1400"/>
      <c r="Q71" s="59"/>
      <c r="R71" s="64"/>
      <c r="S71" s="1347"/>
      <c r="U71" s="51"/>
      <c r="V71" s="51"/>
      <c r="W71" s="449"/>
      <c r="X71" s="51"/>
      <c r="Y71" s="447"/>
      <c r="Z71" s="303"/>
      <c r="AA71" s="56"/>
      <c r="AB71" s="455"/>
      <c r="AC71" s="1348"/>
      <c r="AD71" s="1388"/>
      <c r="AE71" s="303"/>
      <c r="AO71" s="102"/>
      <c r="AP71" s="443"/>
      <c r="AQ71" s="51"/>
      <c r="AR71" s="449"/>
      <c r="AS71" s="443"/>
      <c r="AT71" s="450"/>
      <c r="AU71" s="303"/>
      <c r="AV71" s="449"/>
      <c r="AW71" s="12"/>
      <c r="AX71" s="1349"/>
      <c r="AY71" s="1349"/>
      <c r="AZ71" s="442"/>
      <c r="BA71" s="303"/>
      <c r="BC71" s="274"/>
      <c r="BD71" s="1965" t="s">
        <v>101</v>
      </c>
      <c r="BE71" s="188"/>
      <c r="BF71" s="1530" t="s">
        <v>1156</v>
      </c>
      <c r="BG71" s="1353"/>
      <c r="BH71" s="1353"/>
      <c r="BI71" s="447"/>
      <c r="BJ71" s="55"/>
      <c r="BK71" s="55"/>
      <c r="BL71" s="682"/>
      <c r="BM71" s="684"/>
      <c r="BN71" s="682"/>
      <c r="BO71" s="684"/>
      <c r="BP71" s="684"/>
      <c r="BQ71" s="684"/>
      <c r="BR71" s="684"/>
      <c r="BS71" s="684"/>
      <c r="BT71" s="12"/>
      <c r="BU71" s="684"/>
      <c r="BV71" s="820"/>
      <c r="BW71" s="820"/>
      <c r="BX71" s="887"/>
      <c r="BY71" s="1241"/>
      <c r="BZ71" s="820"/>
      <c r="CA71" s="887"/>
      <c r="CB71" s="887"/>
      <c r="CC71" s="820"/>
      <c r="CD71" s="1246"/>
      <c r="CE71" s="1000"/>
      <c r="CF71" s="1000"/>
      <c r="CG71" s="1000">
        <v>-41.4</v>
      </c>
      <c r="CH71" s="1525"/>
    </row>
    <row r="72" spans="1:86" x14ac:dyDescent="0.2">
      <c r="A72" s="274">
        <v>72</v>
      </c>
      <c r="B72" s="1346"/>
      <c r="C72" s="1398"/>
      <c r="D72" s="1388"/>
      <c r="E72" s="1389"/>
      <c r="F72" s="1390"/>
      <c r="G72" s="1389"/>
      <c r="H72" s="1390"/>
      <c r="I72" s="1391"/>
      <c r="J72" s="461"/>
      <c r="K72" s="461"/>
      <c r="L72" s="461"/>
      <c r="M72" s="461"/>
      <c r="N72" s="1960"/>
      <c r="O72" s="457"/>
      <c r="P72" s="1400"/>
      <c r="Q72" s="59"/>
      <c r="R72" s="64"/>
      <c r="S72" s="1347"/>
      <c r="U72" s="51"/>
      <c r="V72" s="51"/>
      <c r="W72" s="449"/>
      <c r="X72" s="51"/>
      <c r="Y72" s="447"/>
      <c r="Z72" s="303"/>
      <c r="AA72" s="56"/>
      <c r="AB72" s="455"/>
      <c r="AC72" s="1348"/>
      <c r="AD72" s="1388"/>
      <c r="AE72" s="303"/>
      <c r="AO72" s="102"/>
      <c r="AP72" s="443"/>
      <c r="AQ72" s="51"/>
      <c r="AR72" s="449"/>
      <c r="AS72" s="443"/>
      <c r="AT72" s="450"/>
      <c r="AU72" s="303"/>
      <c r="AV72" s="449"/>
      <c r="AW72" s="12"/>
      <c r="AX72" s="1349"/>
      <c r="AY72" s="1349"/>
      <c r="AZ72" s="442"/>
      <c r="BA72" s="303"/>
      <c r="BC72" s="274"/>
      <c r="BD72" s="1401" t="s">
        <v>101</v>
      </c>
      <c r="BE72" s="188"/>
      <c r="BF72" s="1530" t="s">
        <v>1159</v>
      </c>
      <c r="BG72" s="1353"/>
      <c r="BH72" s="1353"/>
      <c r="BI72" s="447"/>
      <c r="BJ72" s="55"/>
      <c r="BK72" s="55"/>
      <c r="BL72" s="682"/>
      <c r="BM72" s="684"/>
      <c r="BN72" s="682"/>
      <c r="BO72" s="684"/>
      <c r="BP72" s="684"/>
      <c r="BQ72" s="684"/>
      <c r="BR72" s="684"/>
      <c r="BS72" s="684"/>
      <c r="BT72" s="12"/>
      <c r="BU72" s="684"/>
      <c r="BV72" s="820"/>
      <c r="BW72" s="820"/>
      <c r="BX72" s="887"/>
      <c r="BY72" s="1241"/>
      <c r="BZ72" s="820"/>
      <c r="CA72" s="887"/>
      <c r="CB72" s="887"/>
      <c r="CC72" s="820"/>
      <c r="CD72" s="1402"/>
      <c r="CE72" s="1000"/>
      <c r="CF72" s="1000"/>
      <c r="CG72" s="1000">
        <v>-85.45</v>
      </c>
      <c r="CH72" s="1525"/>
    </row>
    <row r="73" spans="1:86" x14ac:dyDescent="0.2">
      <c r="A73" s="1907">
        <v>73</v>
      </c>
      <c r="B73" s="1346"/>
      <c r="C73" s="1398"/>
      <c r="D73" s="1388"/>
      <c r="E73" s="1389"/>
      <c r="F73" s="1390"/>
      <c r="G73" s="1389"/>
      <c r="H73" s="1390"/>
      <c r="I73" s="1391"/>
      <c r="J73" s="461"/>
      <c r="K73" s="461"/>
      <c r="L73" s="461"/>
      <c r="M73" s="461"/>
      <c r="N73" s="1960"/>
      <c r="O73" s="457"/>
      <c r="P73" s="1400"/>
      <c r="Q73" s="59"/>
      <c r="R73" s="64"/>
      <c r="S73" s="1347"/>
      <c r="U73" s="51"/>
      <c r="V73" s="51"/>
      <c r="W73" s="449"/>
      <c r="X73" s="51"/>
      <c r="Y73" s="447"/>
      <c r="Z73" s="303"/>
      <c r="AA73" s="56"/>
      <c r="AB73" s="455"/>
      <c r="AC73" s="1348"/>
      <c r="AD73" s="1388"/>
      <c r="AE73" s="303"/>
      <c r="AO73" s="102"/>
      <c r="AP73" s="443"/>
      <c r="AQ73" s="51"/>
      <c r="AR73" s="449"/>
      <c r="AS73" s="443"/>
      <c r="AT73" s="450"/>
      <c r="AU73" s="303"/>
      <c r="AV73" s="449"/>
      <c r="AW73" s="12"/>
      <c r="AX73" s="1349"/>
      <c r="AY73" s="1349"/>
      <c r="AZ73" s="442"/>
      <c r="BA73" s="303"/>
      <c r="BC73" s="274"/>
      <c r="BD73" s="1966"/>
      <c r="BE73" s="1967"/>
      <c r="BF73" s="1530"/>
      <c r="BG73" s="1353"/>
      <c r="BH73" s="1353"/>
      <c r="BI73" s="447"/>
      <c r="BJ73" s="55"/>
      <c r="BK73" s="55"/>
      <c r="BL73" s="682"/>
      <c r="BM73" s="684"/>
      <c r="BN73" s="682"/>
      <c r="BO73" s="684"/>
      <c r="BP73" s="684"/>
      <c r="BQ73" s="684"/>
      <c r="BR73" s="684"/>
      <c r="BS73" s="684"/>
      <c r="BT73" s="12"/>
      <c r="BU73" s="684"/>
      <c r="BV73" s="820"/>
      <c r="BW73" s="820"/>
      <c r="BX73" s="887"/>
      <c r="BY73" s="1241"/>
      <c r="BZ73" s="820"/>
      <c r="CA73" s="887"/>
      <c r="CB73" s="887"/>
      <c r="CC73" s="820"/>
      <c r="CD73" s="1246"/>
      <c r="CE73" s="1000"/>
      <c r="CF73" s="1000"/>
      <c r="CG73" s="1000"/>
      <c r="CH73" s="1525"/>
    </row>
    <row r="74" spans="1:86" x14ac:dyDescent="0.2">
      <c r="A74" s="274">
        <v>74</v>
      </c>
      <c r="B74" s="1346"/>
      <c r="C74" s="1398"/>
      <c r="D74" s="1388"/>
      <c r="E74" s="1389"/>
      <c r="F74" s="1390"/>
      <c r="G74" s="1389"/>
      <c r="H74" s="1390"/>
      <c r="I74" s="1391"/>
      <c r="J74" s="461"/>
      <c r="K74" s="461"/>
      <c r="L74" s="461"/>
      <c r="M74" s="461"/>
      <c r="N74" s="1960"/>
      <c r="O74" s="457"/>
      <c r="P74" s="1400"/>
      <c r="Q74" s="59"/>
      <c r="R74" s="64"/>
      <c r="S74" s="1347"/>
      <c r="U74" s="51"/>
      <c r="V74" s="51"/>
      <c r="W74" s="449"/>
      <c r="X74" s="51"/>
      <c r="Y74" s="447"/>
      <c r="Z74" s="303"/>
      <c r="AA74" s="56"/>
      <c r="AB74" s="455"/>
      <c r="AC74" s="1348"/>
      <c r="AD74" s="1388"/>
      <c r="AE74" s="303"/>
      <c r="AO74" s="102"/>
      <c r="AP74" s="443"/>
      <c r="AQ74" s="51"/>
      <c r="AR74" s="449"/>
      <c r="AS74" s="443"/>
      <c r="AT74" s="450"/>
      <c r="AU74" s="303"/>
      <c r="AV74" s="449"/>
      <c r="AW74" s="12"/>
      <c r="AX74" s="1349"/>
      <c r="AY74" s="1349"/>
      <c r="AZ74" s="442"/>
      <c r="BA74" s="303"/>
      <c r="BC74" s="274"/>
      <c r="BD74" s="1963"/>
      <c r="BE74" s="1964"/>
      <c r="BF74" s="1528"/>
      <c r="BG74" s="1397"/>
      <c r="BH74" s="1397"/>
      <c r="BI74" s="439"/>
      <c r="BJ74" s="1362"/>
      <c r="BK74" s="1362"/>
      <c r="BL74" s="680"/>
      <c r="BM74" s="681"/>
      <c r="BN74" s="680"/>
      <c r="BO74" s="681"/>
      <c r="BP74" s="681"/>
      <c r="BQ74" s="681"/>
      <c r="BR74" s="681"/>
      <c r="BS74" s="681"/>
      <c r="BU74" s="681"/>
      <c r="BV74" s="761"/>
      <c r="BW74" s="762"/>
      <c r="BX74" s="903"/>
      <c r="BY74" s="904"/>
      <c r="BZ74" s="761"/>
      <c r="CA74" s="903"/>
      <c r="CB74" s="905"/>
      <c r="CC74" s="854"/>
      <c r="CD74" s="1240"/>
      <c r="CE74" s="1000"/>
      <c r="CF74" s="1000"/>
      <c r="CG74" s="1000"/>
      <c r="CH74" s="1525"/>
    </row>
    <row r="75" spans="1:86" x14ac:dyDescent="0.2">
      <c r="A75" s="1907">
        <v>75</v>
      </c>
      <c r="B75" s="1346"/>
      <c r="C75" s="1398"/>
      <c r="D75" s="1388"/>
      <c r="E75" s="1389"/>
      <c r="F75" s="1390"/>
      <c r="G75" s="1389"/>
      <c r="H75" s="1390"/>
      <c r="I75" s="1391"/>
      <c r="J75" s="461"/>
      <c r="K75" s="461"/>
      <c r="L75" s="461"/>
      <c r="M75" s="461"/>
      <c r="N75" s="1960"/>
      <c r="O75" s="457"/>
      <c r="P75" s="1400"/>
      <c r="Q75" s="59"/>
      <c r="R75" s="64"/>
      <c r="S75" s="1347"/>
      <c r="U75" s="51"/>
      <c r="V75" s="51"/>
      <c r="W75" s="449"/>
      <c r="X75" s="51"/>
      <c r="Y75" s="447"/>
      <c r="Z75" s="303"/>
      <c r="AA75" s="56"/>
      <c r="AB75" s="455"/>
      <c r="AC75" s="1348"/>
      <c r="AD75" s="1388"/>
      <c r="AE75" s="303"/>
      <c r="AO75" s="102"/>
      <c r="AP75" s="443"/>
      <c r="AQ75" s="51"/>
      <c r="AR75" s="449"/>
      <c r="AS75" s="443"/>
      <c r="AT75" s="450"/>
      <c r="AU75" s="303"/>
      <c r="AV75" s="449"/>
      <c r="AW75" s="12"/>
      <c r="AX75" s="1349"/>
      <c r="AY75" s="1349"/>
      <c r="AZ75" s="442"/>
      <c r="BA75" s="303"/>
      <c r="BC75" s="274"/>
      <c r="BD75" s="1963"/>
      <c r="BE75" s="1964"/>
      <c r="BF75" s="1531"/>
      <c r="BG75" s="1397"/>
      <c r="BH75" s="1397"/>
      <c r="BI75" s="439"/>
      <c r="BJ75" s="1362"/>
      <c r="BK75" s="1362"/>
      <c r="BL75" s="680"/>
      <c r="BM75" s="681"/>
      <c r="BN75" s="682"/>
      <c r="BO75" s="681"/>
      <c r="BP75" s="681"/>
      <c r="BQ75" s="681"/>
      <c r="BR75" s="681"/>
      <c r="BS75" s="681"/>
      <c r="BU75" s="681"/>
      <c r="BV75" s="761"/>
      <c r="BW75" s="762"/>
      <c r="BX75" s="903"/>
      <c r="BY75" s="904"/>
      <c r="BZ75" s="761"/>
      <c r="CA75" s="903"/>
      <c r="CB75" s="905"/>
      <c r="CC75" s="854"/>
      <c r="CD75" s="1060"/>
      <c r="CE75" s="1000"/>
      <c r="CF75" s="1000"/>
      <c r="CG75" s="1000"/>
      <c r="CH75" s="1525"/>
    </row>
    <row r="76" spans="1:86" x14ac:dyDescent="0.2">
      <c r="A76" s="274">
        <v>76</v>
      </c>
      <c r="B76" s="1346"/>
      <c r="C76" s="1398"/>
      <c r="D76" s="1388"/>
      <c r="E76" s="1389"/>
      <c r="F76" s="1390"/>
      <c r="G76" s="1389"/>
      <c r="H76" s="1390"/>
      <c r="I76" s="1391"/>
      <c r="J76" s="461"/>
      <c r="K76" s="461"/>
      <c r="L76" s="461"/>
      <c r="M76" s="461"/>
      <c r="N76" s="1960"/>
      <c r="O76" s="457"/>
      <c r="P76" s="1400"/>
      <c r="Q76" s="59"/>
      <c r="R76" s="64"/>
      <c r="S76" s="1347"/>
      <c r="U76" s="51"/>
      <c r="V76" s="51"/>
      <c r="W76" s="449"/>
      <c r="X76" s="51"/>
      <c r="Y76" s="447"/>
      <c r="Z76" s="303"/>
      <c r="AA76" s="56"/>
      <c r="AB76" s="455"/>
      <c r="AC76" s="1348"/>
      <c r="AD76" s="1388"/>
      <c r="AE76" s="303"/>
      <c r="AO76" s="102"/>
      <c r="AP76" s="443"/>
      <c r="AQ76" s="51"/>
      <c r="AR76" s="449"/>
      <c r="AS76" s="443"/>
      <c r="AT76" s="450"/>
      <c r="AU76" s="303"/>
      <c r="AV76" s="449"/>
      <c r="AW76" s="12"/>
      <c r="AX76" s="1349"/>
      <c r="AY76" s="1349"/>
      <c r="AZ76" s="442"/>
      <c r="BA76" s="303"/>
      <c r="BC76" s="274"/>
      <c r="BD76" s="1963"/>
      <c r="BE76" s="1964"/>
      <c r="BF76" s="1527"/>
      <c r="BG76" s="675"/>
      <c r="BH76" s="675"/>
      <c r="BI76" s="683"/>
      <c r="BJ76" s="55"/>
      <c r="BK76" s="295"/>
      <c r="BL76" s="682"/>
      <c r="BM76" s="688"/>
      <c r="BN76" s="682"/>
      <c r="BO76" s="682"/>
      <c r="BP76" s="684"/>
      <c r="BQ76" s="682"/>
      <c r="BR76" s="684"/>
      <c r="BS76" s="684"/>
      <c r="BU76" s="684"/>
      <c r="BV76" s="763"/>
      <c r="BW76" s="753"/>
      <c r="BX76" s="322"/>
      <c r="BY76" s="890"/>
      <c r="BZ76" s="752"/>
      <c r="CA76" s="322"/>
      <c r="CB76" s="888"/>
      <c r="CC76" s="852"/>
      <c r="CD76" s="1060"/>
      <c r="CE76" s="997"/>
      <c r="CF76" s="1000"/>
      <c r="CG76" s="1000"/>
      <c r="CH76" s="1525"/>
    </row>
    <row r="77" spans="1:86" x14ac:dyDescent="0.2">
      <c r="A77" s="1907">
        <v>77</v>
      </c>
      <c r="B77" s="1346"/>
      <c r="C77" s="1398"/>
      <c r="D77" s="1388"/>
      <c r="E77" s="1389"/>
      <c r="F77" s="1390"/>
      <c r="G77" s="1389"/>
      <c r="H77" s="1390"/>
      <c r="I77" s="1391"/>
      <c r="J77" s="461"/>
      <c r="K77" s="461"/>
      <c r="L77" s="461"/>
      <c r="M77" s="461"/>
      <c r="N77" s="1960"/>
      <c r="O77" s="457"/>
      <c r="P77" s="1400"/>
      <c r="Q77" s="59"/>
      <c r="R77" s="64"/>
      <c r="S77" s="1347"/>
      <c r="U77" s="51"/>
      <c r="V77" s="51"/>
      <c r="W77" s="449"/>
      <c r="X77" s="51"/>
      <c r="Y77" s="447"/>
      <c r="Z77" s="303"/>
      <c r="AA77" s="56"/>
      <c r="AB77" s="455"/>
      <c r="AC77" s="1348"/>
      <c r="AD77" s="1388"/>
      <c r="AE77" s="303"/>
      <c r="AO77" s="102"/>
      <c r="AP77" s="443"/>
      <c r="AQ77" s="51"/>
      <c r="AR77" s="449"/>
      <c r="AS77" s="443"/>
      <c r="AT77" s="450"/>
      <c r="AU77" s="303"/>
      <c r="AV77" s="449"/>
      <c r="AW77" s="12"/>
      <c r="AX77" s="1349"/>
      <c r="AY77" s="1349"/>
      <c r="AZ77" s="442"/>
      <c r="BA77" s="303"/>
      <c r="BC77" s="274"/>
      <c r="BD77" s="1963"/>
      <c r="BE77" s="1964"/>
      <c r="BF77" s="1531"/>
      <c r="BG77" s="1397"/>
      <c r="BH77" s="1397"/>
      <c r="BI77" s="439"/>
      <c r="BJ77" s="1362"/>
      <c r="BK77" s="1362"/>
      <c r="BL77" s="680"/>
      <c r="BM77" s="681"/>
      <c r="BN77" s="682"/>
      <c r="BO77" s="681"/>
      <c r="BP77" s="681"/>
      <c r="BQ77" s="681"/>
      <c r="BR77" s="681"/>
      <c r="BS77" s="681"/>
      <c r="BU77" s="681"/>
      <c r="BV77" s="761"/>
      <c r="BW77" s="762"/>
      <c r="BX77" s="903"/>
      <c r="BY77" s="904"/>
      <c r="BZ77" s="761"/>
      <c r="CA77" s="903"/>
      <c r="CB77" s="905"/>
      <c r="CC77" s="854"/>
      <c r="CD77" s="1060"/>
      <c r="CE77" s="1000"/>
      <c r="CF77" s="1000"/>
      <c r="CG77" s="1000"/>
      <c r="CH77" s="1525"/>
    </row>
    <row r="78" spans="1:86" ht="17" thickBot="1" x14ac:dyDescent="0.25">
      <c r="A78" s="274">
        <v>78</v>
      </c>
      <c r="B78" s="1346"/>
      <c r="C78" s="1398" t="s">
        <v>551</v>
      </c>
      <c r="D78" s="1388"/>
      <c r="E78" s="1389"/>
      <c r="F78" s="1390"/>
      <c r="G78" s="1389"/>
      <c r="H78" s="1390"/>
      <c r="I78" s="1391"/>
      <c r="J78" s="461"/>
      <c r="K78" s="461"/>
      <c r="L78" s="461"/>
      <c r="M78" s="461"/>
      <c r="N78" s="1960"/>
      <c r="O78" s="457"/>
      <c r="P78" s="1968"/>
      <c r="Q78" s="1969"/>
      <c r="R78" s="64"/>
      <c r="S78" s="1347"/>
      <c r="U78" s="51"/>
      <c r="V78" s="51"/>
      <c r="W78" s="449"/>
      <c r="X78" s="51"/>
      <c r="Y78" s="447"/>
      <c r="Z78" s="303"/>
      <c r="AA78" s="56"/>
      <c r="AB78" s="455"/>
      <c r="AC78" s="1348"/>
      <c r="AD78" s="1388"/>
      <c r="AE78" s="303">
        <v>0</v>
      </c>
      <c r="AF78" s="14"/>
      <c r="AG78" s="14"/>
      <c r="AH78" s="14"/>
      <c r="AI78" s="14"/>
      <c r="AJ78" s="14"/>
      <c r="AK78" s="14"/>
      <c r="AL78" s="1970"/>
      <c r="AM78" s="14"/>
      <c r="AN78" s="2">
        <v>20</v>
      </c>
      <c r="AO78" s="102" t="s">
        <v>551</v>
      </c>
      <c r="AP78" s="443" t="s">
        <v>259</v>
      </c>
      <c r="AQ78" s="51"/>
      <c r="AR78" s="449"/>
      <c r="AS78" s="443"/>
      <c r="AT78" s="450"/>
      <c r="AU78" s="303">
        <f>-78.63*1.2</f>
        <v>-94.355999999999995</v>
      </c>
      <c r="AV78" s="449">
        <v>1614.8719999999998</v>
      </c>
      <c r="AW78" s="12"/>
      <c r="AX78" s="1349"/>
      <c r="AY78" s="1349"/>
      <c r="AZ78" s="442"/>
      <c r="BA78" s="303"/>
      <c r="BC78" s="109">
        <v>46</v>
      </c>
      <c r="BD78" s="1109"/>
      <c r="BE78" s="1959"/>
      <c r="BF78" s="1527"/>
      <c r="BG78" s="675"/>
      <c r="BH78" s="675"/>
      <c r="BI78" s="683"/>
      <c r="BJ78" s="55"/>
      <c r="BK78" s="295"/>
      <c r="BL78" s="682"/>
      <c r="BM78" s="688"/>
      <c r="BN78" s="682"/>
      <c r="BO78" s="682"/>
      <c r="BP78" s="684"/>
      <c r="BQ78" s="682"/>
      <c r="BR78" s="684"/>
      <c r="BS78" s="684"/>
      <c r="BU78" s="684"/>
      <c r="BV78" s="763"/>
      <c r="BW78" s="753"/>
      <c r="BX78" s="322"/>
      <c r="BY78" s="890"/>
      <c r="BZ78" s="752"/>
      <c r="CA78" s="322"/>
      <c r="CB78" s="888"/>
      <c r="CC78" s="852"/>
      <c r="CD78" s="1060"/>
      <c r="CE78" s="997"/>
      <c r="CF78" s="1149"/>
      <c r="CG78" s="1000"/>
      <c r="CH78" s="1532">
        <v>-10500</v>
      </c>
    </row>
    <row r="79" spans="1:86" ht="30.5" customHeight="1" thickBot="1" x14ac:dyDescent="0.25">
      <c r="A79" s="1907">
        <v>79</v>
      </c>
      <c r="B79" s="1346"/>
      <c r="C79" s="102" t="s">
        <v>254</v>
      </c>
      <c r="D79" s="1388" t="s">
        <v>255</v>
      </c>
      <c r="E79" s="1389">
        <v>1</v>
      </c>
      <c r="F79" s="1390">
        <f>95*1.2</f>
        <v>114</v>
      </c>
      <c r="G79" s="1389"/>
      <c r="H79" s="1390"/>
      <c r="I79" s="1391">
        <v>1</v>
      </c>
      <c r="J79" s="461">
        <v>121.67</v>
      </c>
      <c r="K79" s="56"/>
      <c r="L79" s="461">
        <f>+J79*I79</f>
        <v>121.67</v>
      </c>
      <c r="M79" s="461">
        <f>+L79*0.2</f>
        <v>24.334000000000003</v>
      </c>
      <c r="N79" s="1960">
        <f>+M79+L79</f>
        <v>146.00400000000002</v>
      </c>
      <c r="O79" s="1971">
        <f>SUM(N79:N79)</f>
        <v>146.00400000000002</v>
      </c>
      <c r="P79" s="1347">
        <v>437</v>
      </c>
      <c r="Q79" s="1403">
        <v>42095</v>
      </c>
      <c r="R79" s="1404" t="s">
        <v>256</v>
      </c>
      <c r="S79" s="462"/>
      <c r="T79" s="274">
        <v>5</v>
      </c>
      <c r="U79" s="51" t="s">
        <v>254</v>
      </c>
      <c r="V79" s="51"/>
      <c r="W79" s="449">
        <v>76.5</v>
      </c>
      <c r="X79" s="51">
        <v>1</v>
      </c>
      <c r="Y79" s="447">
        <f>+X79*W79</f>
        <v>76.5</v>
      </c>
      <c r="Z79" s="303">
        <f>-Y79*1.2</f>
        <v>-91.8</v>
      </c>
      <c r="AA79" s="56">
        <v>544</v>
      </c>
      <c r="AB79" s="449"/>
      <c r="AC79" s="1348" t="s">
        <v>257</v>
      </c>
      <c r="AD79" s="1388"/>
      <c r="AE79" s="303">
        <v>0</v>
      </c>
      <c r="AO79" s="102"/>
      <c r="AP79" s="443"/>
      <c r="AQ79" s="51"/>
      <c r="AR79" s="449"/>
      <c r="AS79" s="443"/>
      <c r="AT79" s="450"/>
      <c r="AU79" s="303"/>
      <c r="AV79" s="449"/>
      <c r="AW79" s="12"/>
      <c r="AX79" s="1349"/>
      <c r="AY79" s="1349"/>
      <c r="AZ79" s="442"/>
      <c r="BA79" s="303"/>
      <c r="BC79" s="274">
        <v>47</v>
      </c>
      <c r="BD79" s="2386"/>
      <c r="BE79" s="2387"/>
      <c r="BF79" s="1533"/>
      <c r="BG79" s="686"/>
      <c r="BH79" s="686"/>
      <c r="BI79" s="687"/>
      <c r="BJ79" s="1405"/>
      <c r="BK79" s="687"/>
      <c r="BL79" s="668"/>
      <c r="BM79" s="685">
        <f>+BM57+BM52+BM78</f>
        <v>4519.9440000000004</v>
      </c>
      <c r="BN79" s="668">
        <f t="shared" ref="BN79:BS79" si="11">+BN57+BN52</f>
        <v>-358.39199999999994</v>
      </c>
      <c r="BO79" s="685">
        <f t="shared" si="11"/>
        <v>1493.79</v>
      </c>
      <c r="BP79" s="685">
        <f t="shared" si="11"/>
        <v>78.134</v>
      </c>
      <c r="BQ79" s="685">
        <f t="shared" si="11"/>
        <v>2635.83</v>
      </c>
      <c r="BR79" s="685">
        <f t="shared" si="11"/>
        <v>180.19</v>
      </c>
      <c r="BS79" s="685">
        <f t="shared" si="11"/>
        <v>132</v>
      </c>
      <c r="BT79" s="1534"/>
      <c r="BU79" s="685">
        <f>+BU57+BU52</f>
        <v>4226</v>
      </c>
      <c r="BV79" s="764"/>
      <c r="BW79" s="765"/>
      <c r="BX79" s="907">
        <f>+BX57+BX52</f>
        <v>-3879.6959999999995</v>
      </c>
      <c r="BY79" s="908"/>
      <c r="BZ79" s="764"/>
      <c r="CA79" s="907">
        <f>+CA57+CA52</f>
        <v>-2131.06</v>
      </c>
      <c r="CB79" s="909">
        <f>+CB57+CB52</f>
        <v>-3165.6719999999996</v>
      </c>
      <c r="CC79" s="855"/>
      <c r="CD79" s="855"/>
      <c r="CE79" s="1634">
        <f>SUM(CE52:CE78)</f>
        <v>-4917.53</v>
      </c>
      <c r="CF79" s="1072">
        <f>SUM(CF52:CF78)</f>
        <v>-9417</v>
      </c>
      <c r="CG79" s="1072">
        <f>SUM(CG52:CG78)</f>
        <v>-10154.51</v>
      </c>
      <c r="CH79" s="1535">
        <f>SUM(CH57:CH78)+CH52</f>
        <v>-10500</v>
      </c>
    </row>
    <row r="80" spans="1:86" ht="16" thickTop="1" x14ac:dyDescent="0.2"/>
  </sheetData>
  <autoFilter ref="A5:CH79" xr:uid="{00000000-0001-0000-0A00-00000000000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autoFilter>
  <mergeCells count="27">
    <mergeCell ref="BD79:BE79"/>
    <mergeCell ref="BF1:CH1"/>
    <mergeCell ref="CG62:CG69"/>
    <mergeCell ref="CF54:CF56"/>
    <mergeCell ref="CH54:CH56"/>
    <mergeCell ref="BV4:BY4"/>
    <mergeCell ref="BD54:BD55"/>
    <mergeCell ref="BN54:BN56"/>
    <mergeCell ref="BU54:BU56"/>
    <mergeCell ref="BF4:BM4"/>
    <mergeCell ref="BO4:BS4"/>
    <mergeCell ref="BN12:BN13"/>
    <mergeCell ref="BN23:BN25"/>
    <mergeCell ref="BZ4:CB4"/>
    <mergeCell ref="C1:BA1"/>
    <mergeCell ref="C2:BA2"/>
    <mergeCell ref="BU8:BU36"/>
    <mergeCell ref="BN27:BN28"/>
    <mergeCell ref="BF2:CH2"/>
    <mergeCell ref="CE3:CG3"/>
    <mergeCell ref="BF3:CD3"/>
    <mergeCell ref="C5:BA5"/>
    <mergeCell ref="AP4:AR4"/>
    <mergeCell ref="AS4:AT4"/>
    <mergeCell ref="AD4:AE4"/>
    <mergeCell ref="D4:Z4"/>
    <mergeCell ref="AW4:AZ4"/>
  </mergeCells>
  <phoneticPr fontId="52" type="noConversion"/>
  <conditionalFormatting sqref="A1 A3 A5 A7 A9 A11 A13 A15 A17 A19 A21 A23 A25 A27 A29 A31 A33 A35 A37 A39 A41 A43 A45 A47 A49 A51 A53 A55 A57 A59 A61 A63 A65 A67 A69 A71 A73 A75 A77 A79">
    <cfRule type="cellIs" dxfId="120" priority="31" operator="equal">
      <formula>0</formula>
    </cfRule>
  </conditionalFormatting>
  <conditionalFormatting sqref="C1">
    <cfRule type="cellIs" dxfId="119" priority="30" operator="equal">
      <formula>0</formula>
    </cfRule>
  </conditionalFormatting>
  <conditionalFormatting sqref="AZ4:AZ1048576">
    <cfRule type="cellIs" dxfId="118" priority="32" operator="lessThan">
      <formula>0</formula>
    </cfRule>
  </conditionalFormatting>
  <conditionalFormatting sqref="BD27">
    <cfRule type="cellIs" dxfId="117" priority="29" operator="lessThan">
      <formula>0</formula>
    </cfRule>
  </conditionalFormatting>
  <conditionalFormatting sqref="BD6:BE21">
    <cfRule type="cellIs" dxfId="116" priority="5" operator="lessThan">
      <formula>0</formula>
    </cfRule>
  </conditionalFormatting>
  <conditionalFormatting sqref="BD23:BE23 BE25">
    <cfRule type="cellIs" dxfId="115" priority="15" operator="lessThan">
      <formula>0</formula>
    </cfRule>
  </conditionalFormatting>
  <conditionalFormatting sqref="BD26:BE26">
    <cfRule type="cellIs" dxfId="114" priority="22" operator="lessThan">
      <formula>0</formula>
    </cfRule>
  </conditionalFormatting>
  <conditionalFormatting sqref="BD29:BE30">
    <cfRule type="cellIs" dxfId="113" priority="9" operator="lessThan">
      <formula>0</formula>
    </cfRule>
  </conditionalFormatting>
  <conditionalFormatting sqref="BD34:BE35">
    <cfRule type="cellIs" dxfId="112" priority="16" operator="lessThan">
      <formula>0</formula>
    </cfRule>
  </conditionalFormatting>
  <conditionalFormatting sqref="BD40:BE51">
    <cfRule type="cellIs" dxfId="111" priority="10" operator="lessThan">
      <formula>0</formula>
    </cfRule>
  </conditionalFormatting>
  <conditionalFormatting sqref="BE27:BE28">
    <cfRule type="cellIs" dxfId="110" priority="4" operator="lessThan">
      <formula>0</formula>
    </cfRule>
  </conditionalFormatting>
  <conditionalFormatting sqref="BF1">
    <cfRule type="cellIs" dxfId="109" priority="3" operator="equal">
      <formula>0</formula>
    </cfRule>
  </conditionalFormatting>
  <hyperlinks>
    <hyperlink ref="C1" location="Summary!A1" display="Summary!A1" xr:uid="{18E099E1-F443-4905-90C9-72AB50ADBB28}"/>
    <hyperlink ref="BF1" location="Summary!A1" display="Summary!A1" xr:uid="{281288D4-C854-4D80-B046-AAEE93E838B7}"/>
    <hyperlink ref="CH79" location="Summary!T23" display="Summary!T23" xr:uid="{CC9DA1A7-5605-4C3C-AEFF-AE8B8E627163}"/>
  </hyperlinks>
  <printOptions horizontalCentered="1"/>
  <pageMargins left="0" right="0" top="0.78740157480314965" bottom="0"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FF00"/>
    <pageSetUpPr fitToPage="1"/>
  </sheetPr>
  <dimension ref="A1:P8"/>
  <sheetViews>
    <sheetView zoomScaleNormal="100" zoomScaleSheetLayoutView="100" workbookViewId="0">
      <pane xSplit="8" ySplit="3" topLeftCell="I4" activePane="bottomRight" state="frozen"/>
      <selection activeCell="Y257" sqref="Y257"/>
      <selection pane="topRight" activeCell="Y257" sqref="Y257"/>
      <selection pane="bottomLeft" activeCell="Y257" sqref="Y257"/>
      <selection pane="bottomRight" activeCell="Y257" sqref="Y257"/>
    </sheetView>
  </sheetViews>
  <sheetFormatPr baseColWidth="10" defaultColWidth="8.83203125" defaultRowHeight="19" x14ac:dyDescent="0.2"/>
  <cols>
    <col min="1" max="3" width="8.83203125" style="2001"/>
    <col min="4" max="4" width="8.83203125" style="2001" customWidth="1"/>
    <col min="5" max="9" width="8.83203125" style="2001"/>
    <col min="10" max="12" width="11.33203125" style="2001" hidden="1" customWidth="1"/>
    <col min="13" max="16" width="11.33203125" style="2001" customWidth="1"/>
    <col min="17" max="16384" width="8.83203125" style="2001"/>
  </cols>
  <sheetData>
    <row r="1" spans="1:16" s="2002" customFormat="1" ht="24" x14ac:dyDescent="0.2">
      <c r="A1" s="1998"/>
      <c r="B1" s="1908"/>
      <c r="C1" s="1908"/>
      <c r="D1" s="1908"/>
      <c r="E1" s="1908"/>
      <c r="F1" s="1908"/>
      <c r="G1" s="1908"/>
      <c r="H1" s="1908"/>
      <c r="I1" s="2412" t="s">
        <v>725</v>
      </c>
      <c r="J1" s="2314"/>
      <c r="K1" s="2314"/>
      <c r="L1" s="2314"/>
      <c r="M1" s="2314"/>
      <c r="N1" s="2314"/>
      <c r="O1" s="2314"/>
      <c r="P1" s="2314"/>
    </row>
    <row r="2" spans="1:16" x14ac:dyDescent="0.2">
      <c r="A2" s="1999"/>
      <c r="B2" s="1999"/>
      <c r="C2" s="1999"/>
      <c r="D2" s="1999"/>
      <c r="E2" s="1999"/>
      <c r="F2" s="1999"/>
      <c r="G2" s="1999"/>
      <c r="H2" s="1999"/>
      <c r="I2" s="2328" t="s">
        <v>986</v>
      </c>
      <c r="J2" s="2328"/>
      <c r="K2" s="2328"/>
      <c r="L2" s="2328"/>
      <c r="M2" s="2328"/>
      <c r="N2" s="2328"/>
      <c r="O2" s="2328"/>
      <c r="P2" s="2328"/>
    </row>
    <row r="3" spans="1:16" x14ac:dyDescent="0.2">
      <c r="A3" s="2000"/>
      <c r="B3" s="2000"/>
      <c r="C3" s="2000"/>
      <c r="D3" s="2000"/>
      <c r="E3" s="2000"/>
      <c r="F3" s="2000"/>
      <c r="G3" s="2000"/>
      <c r="H3" s="2000"/>
      <c r="I3" s="2323" t="s">
        <v>481</v>
      </c>
      <c r="J3" s="2323"/>
      <c r="K3" s="2323"/>
      <c r="L3" s="2323"/>
      <c r="M3" s="2323"/>
      <c r="N3" s="2323"/>
      <c r="O3" s="2323"/>
      <c r="P3" s="1473" t="s">
        <v>519</v>
      </c>
    </row>
    <row r="4" spans="1:16" x14ac:dyDescent="0.2">
      <c r="I4" s="411"/>
      <c r="J4" s="411">
        <v>2019</v>
      </c>
      <c r="K4" s="411">
        <v>2020</v>
      </c>
      <c r="L4" s="411">
        <v>2021</v>
      </c>
      <c r="M4" s="411">
        <v>2022</v>
      </c>
      <c r="N4" s="411">
        <v>2023</v>
      </c>
      <c r="O4" s="411">
        <v>2024</v>
      </c>
      <c r="P4" s="411">
        <v>2025</v>
      </c>
    </row>
    <row r="5" spans="1:16" x14ac:dyDescent="0.2">
      <c r="I5" s="766" t="s">
        <v>997</v>
      </c>
      <c r="J5" s="766">
        <v>-815</v>
      </c>
      <c r="K5" s="766">
        <v>-630</v>
      </c>
      <c r="L5" s="766">
        <v>-630</v>
      </c>
      <c r="M5" s="766">
        <v>-840</v>
      </c>
      <c r="N5" s="766">
        <v>-840</v>
      </c>
      <c r="O5" s="766">
        <v>-840</v>
      </c>
      <c r="P5" s="981">
        <v>-840</v>
      </c>
    </row>
    <row r="6" spans="1:16" ht="21" customHeight="1" x14ac:dyDescent="0.2">
      <c r="I6" s="766"/>
      <c r="J6" s="865"/>
      <c r="K6" s="865"/>
      <c r="L6" s="865"/>
      <c r="M6" s="865"/>
      <c r="N6" s="865"/>
      <c r="O6" s="865"/>
      <c r="P6" s="865"/>
    </row>
    <row r="7" spans="1:16" ht="20" thickBot="1" x14ac:dyDescent="0.25">
      <c r="I7" s="1635"/>
      <c r="J7" s="1636">
        <f>SUM(J5:J6)</f>
        <v>-815</v>
      </c>
      <c r="K7" s="1636">
        <f t="shared" ref="K7:O7" si="0">SUM(K5:K6)</f>
        <v>-630</v>
      </c>
      <c r="L7" s="1636">
        <f t="shared" si="0"/>
        <v>-630</v>
      </c>
      <c r="M7" s="1636">
        <f t="shared" si="0"/>
        <v>-840</v>
      </c>
      <c r="N7" s="1077">
        <f t="shared" si="0"/>
        <v>-840</v>
      </c>
      <c r="O7" s="1077">
        <f t="shared" si="0"/>
        <v>-840</v>
      </c>
      <c r="P7" s="971">
        <f>SUM(P5:P6)</f>
        <v>-840</v>
      </c>
    </row>
    <row r="8" spans="1:16" ht="20" thickTop="1" x14ac:dyDescent="0.2"/>
  </sheetData>
  <mergeCells count="3">
    <mergeCell ref="I3:O3"/>
    <mergeCell ref="I1:P1"/>
    <mergeCell ref="I2:P2"/>
  </mergeCells>
  <phoneticPr fontId="52" type="noConversion"/>
  <conditionalFormatting sqref="A1 I5:P7">
    <cfRule type="cellIs" dxfId="108" priority="7" operator="equal">
      <formula>0</formula>
    </cfRule>
  </conditionalFormatting>
  <conditionalFormatting sqref="I1">
    <cfRule type="cellIs" dxfId="107" priority="1" operator="equal">
      <formula>0</formula>
    </cfRule>
  </conditionalFormatting>
  <hyperlinks>
    <hyperlink ref="P7" location="Summary!T24" display="Summary!T24" xr:uid="{507AE5EF-37BF-41E4-A11B-0CA4ED71C3A0}"/>
    <hyperlink ref="I1" location="Summary!A1" display="Summary!A1" xr:uid="{A01CFD65-BD48-462A-A6D4-986F4F69BA64}"/>
  </hyperlinks>
  <printOptions horizontalCentered="1"/>
  <pageMargins left="0.70866141732283472" right="0.27559055118110237" top="0.47244094488188981" bottom="0.43307086614173229"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FF00"/>
    <pageSetUpPr fitToPage="1"/>
  </sheetPr>
  <dimension ref="B1:R17"/>
  <sheetViews>
    <sheetView zoomScaleNormal="100" zoomScaleSheetLayoutView="100" workbookViewId="0">
      <pane xSplit="2" ySplit="5" topLeftCell="K6" activePane="bottomRight" state="frozen"/>
      <selection activeCell="Y257" sqref="Y257"/>
      <selection pane="topRight" activeCell="Y257" sqref="Y257"/>
      <selection pane="bottomLeft" activeCell="Y257" sqref="Y257"/>
      <selection pane="bottomRight" activeCell="Y257" sqref="Y257"/>
    </sheetView>
  </sheetViews>
  <sheetFormatPr baseColWidth="10" defaultColWidth="20.5" defaultRowHeight="15" x14ac:dyDescent="0.2"/>
  <cols>
    <col min="1" max="1" width="2.33203125" style="2" customWidth="1"/>
    <col min="2" max="2" width="47.5" style="2" bestFit="1" customWidth="1"/>
    <col min="3" max="3" width="6.33203125" style="2" hidden="1" customWidth="1"/>
    <col min="4" max="4" width="7.83203125" style="2" hidden="1" customWidth="1"/>
    <col min="5" max="5" width="9.33203125" style="2" hidden="1" customWidth="1"/>
    <col min="6" max="7" width="6.33203125" style="2" hidden="1" customWidth="1"/>
    <col min="8" max="8" width="7.1640625" style="2" hidden="1" customWidth="1"/>
    <col min="9" max="9" width="7" style="2" hidden="1" customWidth="1"/>
    <col min="10" max="10" width="4.6640625" style="2" hidden="1" customWidth="1"/>
    <col min="11" max="14" width="9.5" style="2" customWidth="1"/>
    <col min="15" max="15" width="11.6640625" style="2" bestFit="1" customWidth="1"/>
    <col min="16" max="16" width="16.83203125" style="2" bestFit="1" customWidth="1"/>
    <col min="17" max="17" width="25" style="2" bestFit="1" customWidth="1"/>
    <col min="18" max="18" width="12.33203125" style="2" bestFit="1" customWidth="1"/>
    <col min="19" max="16384" width="20.5" style="2"/>
  </cols>
  <sheetData>
    <row r="1" spans="2:18" s="1683" customFormat="1" ht="24" x14ac:dyDescent="0.2">
      <c r="B1" s="2289" t="s">
        <v>725</v>
      </c>
      <c r="C1" s="2289"/>
      <c r="D1" s="2289"/>
      <c r="E1" s="2289"/>
      <c r="F1" s="2289"/>
      <c r="G1" s="2289"/>
      <c r="H1" s="2289"/>
      <c r="I1" s="2289"/>
      <c r="J1" s="2289"/>
      <c r="K1" s="2289"/>
      <c r="L1" s="2289"/>
      <c r="M1" s="2289"/>
      <c r="N1" s="2289"/>
    </row>
    <row r="2" spans="2:18" ht="16" x14ac:dyDescent="0.2">
      <c r="B2" s="2413" t="s">
        <v>17</v>
      </c>
      <c r="C2" s="2413"/>
      <c r="D2" s="2413"/>
      <c r="E2" s="2413"/>
      <c r="F2" s="2413"/>
      <c r="G2" s="2413"/>
      <c r="H2" s="2413"/>
      <c r="I2" s="2413"/>
      <c r="J2" s="2413"/>
      <c r="K2" s="2413"/>
      <c r="L2" s="2413"/>
      <c r="M2" s="2413"/>
      <c r="N2" s="2413"/>
    </row>
    <row r="3" spans="2:18" ht="16" x14ac:dyDescent="0.2">
      <c r="B3" s="73"/>
      <c r="C3" s="8"/>
      <c r="D3" s="8"/>
      <c r="E3" s="8"/>
      <c r="F3" s="350">
        <v>2017</v>
      </c>
      <c r="G3" s="350">
        <v>2018</v>
      </c>
      <c r="H3" s="350">
        <v>2019</v>
      </c>
      <c r="I3" s="350">
        <v>2020</v>
      </c>
      <c r="J3" s="350">
        <v>2021</v>
      </c>
      <c r="K3" s="2414" t="s">
        <v>481</v>
      </c>
      <c r="L3" s="2414"/>
      <c r="M3" s="2414"/>
      <c r="N3" s="1476" t="s">
        <v>519</v>
      </c>
      <c r="O3" s="1683"/>
    </row>
    <row r="4" spans="2:18" x14ac:dyDescent="0.2">
      <c r="B4" s="73"/>
      <c r="C4" s="8">
        <v>2014</v>
      </c>
      <c r="D4" s="8">
        <v>2015</v>
      </c>
      <c r="E4" s="8">
        <v>2016</v>
      </c>
      <c r="F4" s="350"/>
      <c r="G4" s="350"/>
      <c r="H4" s="350"/>
      <c r="I4" s="350"/>
      <c r="J4" s="350"/>
      <c r="K4" s="350">
        <v>2022</v>
      </c>
      <c r="L4" s="664">
        <v>2023</v>
      </c>
      <c r="M4" s="664">
        <v>2024</v>
      </c>
      <c r="N4" s="350">
        <v>2025</v>
      </c>
      <c r="O4" s="1683"/>
    </row>
    <row r="5" spans="2:18" x14ac:dyDescent="0.2">
      <c r="B5" s="73"/>
      <c r="C5" s="2366" t="s">
        <v>520</v>
      </c>
      <c r="D5" s="2366"/>
      <c r="E5" s="2366"/>
      <c r="F5" s="2366"/>
      <c r="G5" s="2366"/>
      <c r="H5" s="2366"/>
      <c r="I5" s="2366"/>
      <c r="J5" s="2366"/>
      <c r="K5" s="8"/>
      <c r="L5" s="411"/>
      <c r="M5" s="411"/>
      <c r="N5" s="8"/>
      <c r="O5" s="2003" t="s">
        <v>586</v>
      </c>
      <c r="P5" s="2003" t="s">
        <v>163</v>
      </c>
      <c r="Q5" s="2003" t="s">
        <v>160</v>
      </c>
      <c r="R5" s="2003" t="s">
        <v>1061</v>
      </c>
    </row>
    <row r="6" spans="2:18" x14ac:dyDescent="0.2">
      <c r="B6" s="73" t="s">
        <v>169</v>
      </c>
      <c r="C6" s="911">
        <v>-115.45</v>
      </c>
      <c r="D6" s="911">
        <v>-35.450000000000003</v>
      </c>
      <c r="E6" s="911">
        <v>-83.14</v>
      </c>
      <c r="F6" s="911">
        <v>-70.650000000000006</v>
      </c>
      <c r="G6" s="911">
        <v>-48.61</v>
      </c>
      <c r="H6" s="911">
        <v>-87.4</v>
      </c>
      <c r="I6" s="911">
        <v>-57</v>
      </c>
      <c r="J6" s="911">
        <v>-103</v>
      </c>
      <c r="K6" s="911">
        <v>-65.34</v>
      </c>
      <c r="L6" s="935"/>
      <c r="M6" s="935"/>
      <c r="N6" s="935"/>
      <c r="O6" s="2004">
        <v>45414</v>
      </c>
      <c r="P6" s="1258" t="s">
        <v>101</v>
      </c>
      <c r="Q6" s="1258" t="s">
        <v>1164</v>
      </c>
      <c r="R6" s="2005">
        <v>-455.07</v>
      </c>
    </row>
    <row r="7" spans="2:18" x14ac:dyDescent="0.2">
      <c r="B7" s="73" t="s">
        <v>170</v>
      </c>
      <c r="C7" s="911">
        <v>-144.62</v>
      </c>
      <c r="D7" s="911">
        <v>-362.39</v>
      </c>
      <c r="E7" s="911">
        <v>-138.06</v>
      </c>
      <c r="F7" s="911"/>
      <c r="G7" s="911"/>
      <c r="H7" s="911"/>
      <c r="I7" s="911"/>
      <c r="J7" s="911"/>
      <c r="K7" s="911">
        <v>-669</v>
      </c>
      <c r="L7" s="935"/>
      <c r="M7" s="935"/>
      <c r="N7" s="935"/>
      <c r="O7" s="2006">
        <v>45498</v>
      </c>
      <c r="P7" s="2007" t="s">
        <v>101</v>
      </c>
      <c r="Q7" s="2007" t="s">
        <v>1165</v>
      </c>
      <c r="R7" s="2008">
        <v>-200</v>
      </c>
    </row>
    <row r="8" spans="2:18" s="1345" customFormat="1" x14ac:dyDescent="0.2">
      <c r="B8" s="296" t="s">
        <v>985</v>
      </c>
      <c r="C8" s="912"/>
      <c r="D8" s="912"/>
      <c r="E8" s="912"/>
      <c r="F8" s="912"/>
      <c r="G8" s="912">
        <v>-147.6</v>
      </c>
      <c r="H8" s="912">
        <v>-196.8</v>
      </c>
      <c r="I8" s="912">
        <v>-241</v>
      </c>
      <c r="J8" s="912"/>
      <c r="K8" s="912"/>
      <c r="L8" s="1073"/>
      <c r="M8" s="1073"/>
      <c r="N8" s="1073"/>
      <c r="O8" s="2004">
        <v>45535</v>
      </c>
      <c r="P8" s="1258" t="s">
        <v>101</v>
      </c>
      <c r="Q8" s="1258" t="s">
        <v>1166</v>
      </c>
      <c r="R8" s="2005">
        <v>-47.97</v>
      </c>
    </row>
    <row r="9" spans="2:18" x14ac:dyDescent="0.2">
      <c r="B9" s="73" t="s">
        <v>171</v>
      </c>
      <c r="C9" s="911">
        <v>-158.07</v>
      </c>
      <c r="D9" s="911">
        <v>-258.05</v>
      </c>
      <c r="E9" s="911">
        <v>-4.08</v>
      </c>
      <c r="F9" s="911">
        <v>-73.58</v>
      </c>
      <c r="G9" s="911"/>
      <c r="H9" s="911">
        <v>-155.97999999999999</v>
      </c>
      <c r="I9" s="911">
        <v>-161</v>
      </c>
      <c r="J9" s="911">
        <v>-30</v>
      </c>
      <c r="K9" s="911"/>
      <c r="L9" s="935"/>
      <c r="M9" s="935"/>
      <c r="N9" s="935"/>
      <c r="O9" s="2006">
        <v>45400</v>
      </c>
      <c r="P9" s="2007" t="s">
        <v>101</v>
      </c>
      <c r="Q9" s="2007" t="s">
        <v>1167</v>
      </c>
      <c r="R9" s="2008">
        <v>-43.75</v>
      </c>
    </row>
    <row r="10" spans="2:18" x14ac:dyDescent="0.2">
      <c r="B10" s="73" t="s">
        <v>929</v>
      </c>
      <c r="C10" s="911"/>
      <c r="D10" s="911"/>
      <c r="E10" s="911"/>
      <c r="F10" s="911"/>
      <c r="G10" s="911"/>
      <c r="H10" s="911"/>
      <c r="I10" s="911"/>
      <c r="J10" s="911">
        <v>-158</v>
      </c>
      <c r="K10" s="911"/>
      <c r="L10" s="935"/>
      <c r="M10" s="935"/>
      <c r="N10" s="935"/>
      <c r="O10" s="2004">
        <v>45526</v>
      </c>
      <c r="P10" s="1258" t="s">
        <v>146</v>
      </c>
      <c r="Q10" s="1258" t="s">
        <v>1168</v>
      </c>
      <c r="R10" s="2009">
        <v>-21.55</v>
      </c>
    </row>
    <row r="11" spans="2:18" ht="16" thickBot="1" x14ac:dyDescent="0.25">
      <c r="B11" s="73" t="s">
        <v>172</v>
      </c>
      <c r="C11" s="911"/>
      <c r="D11" s="911">
        <v>-408</v>
      </c>
      <c r="E11" s="911"/>
      <c r="F11" s="911"/>
      <c r="G11" s="911"/>
      <c r="H11" s="911"/>
      <c r="I11" s="911"/>
      <c r="J11" s="911"/>
      <c r="K11" s="911"/>
      <c r="L11" s="935"/>
      <c r="M11" s="935"/>
      <c r="N11" s="935"/>
      <c r="O11" s="1683"/>
      <c r="P11" s="1683"/>
      <c r="Q11" s="1683"/>
      <c r="R11" s="2010">
        <f>SUM(R6:R10)</f>
        <v>-768.33999999999992</v>
      </c>
    </row>
    <row r="12" spans="2:18" ht="16" thickTop="1" x14ac:dyDescent="0.2">
      <c r="B12" s="73" t="s">
        <v>552</v>
      </c>
      <c r="C12" s="911"/>
      <c r="D12" s="911"/>
      <c r="E12" s="911"/>
      <c r="F12" s="911">
        <v>34.799999999999997</v>
      </c>
      <c r="G12" s="911"/>
      <c r="H12" s="911"/>
      <c r="I12" s="911"/>
      <c r="J12" s="911"/>
      <c r="K12" s="911"/>
      <c r="L12" s="935"/>
      <c r="M12" s="935"/>
      <c r="N12" s="935"/>
      <c r="O12" s="1683"/>
      <c r="R12" s="2011"/>
    </row>
    <row r="13" spans="2:18" x14ac:dyDescent="0.2">
      <c r="B13" s="73" t="s">
        <v>1024</v>
      </c>
      <c r="C13" s="911"/>
      <c r="D13" s="911"/>
      <c r="E13" s="911"/>
      <c r="F13" s="911"/>
      <c r="G13" s="911"/>
      <c r="H13" s="911"/>
      <c r="I13" s="911"/>
      <c r="J13" s="911"/>
      <c r="K13" s="911">
        <v>-42.93</v>
      </c>
      <c r="L13" s="935"/>
      <c r="M13" s="935"/>
      <c r="N13" s="935"/>
      <c r="O13" s="1683"/>
    </row>
    <row r="14" spans="2:18" x14ac:dyDescent="0.2">
      <c r="B14" s="73" t="s">
        <v>1076</v>
      </c>
      <c r="C14" s="911"/>
      <c r="D14" s="911"/>
      <c r="E14" s="911"/>
      <c r="F14" s="911"/>
      <c r="G14" s="911"/>
      <c r="H14" s="911"/>
      <c r="I14" s="911"/>
      <c r="J14" s="911"/>
      <c r="K14" s="911"/>
      <c r="L14" s="935">
        <v>-500</v>
      </c>
      <c r="M14" s="935">
        <v>-768.34</v>
      </c>
      <c r="N14" s="935" t="s">
        <v>70</v>
      </c>
      <c r="O14" s="1683"/>
    </row>
    <row r="15" spans="2:18" x14ac:dyDescent="0.2">
      <c r="B15" s="73"/>
      <c r="C15" s="911">
        <v>-85</v>
      </c>
      <c r="D15" s="911"/>
      <c r="E15" s="911"/>
      <c r="F15" s="911"/>
      <c r="G15" s="911"/>
      <c r="H15" s="911"/>
      <c r="I15" s="911"/>
      <c r="J15" s="911"/>
      <c r="K15" s="911"/>
      <c r="L15" s="935"/>
      <c r="M15" s="935"/>
      <c r="N15" s="982">
        <v>-500</v>
      </c>
      <c r="O15" s="1683"/>
    </row>
    <row r="16" spans="2:18" ht="16" thickBot="1" x14ac:dyDescent="0.25">
      <c r="B16" s="24"/>
      <c r="C16" s="914">
        <f t="shared" ref="C16:N16" si="0">SUM(C6:C15)</f>
        <v>-503.14</v>
      </c>
      <c r="D16" s="914">
        <f t="shared" si="0"/>
        <v>-1063.8899999999999</v>
      </c>
      <c r="E16" s="914">
        <f t="shared" si="0"/>
        <v>-225.28</v>
      </c>
      <c r="F16" s="914">
        <f t="shared" si="0"/>
        <v>-109.43000000000002</v>
      </c>
      <c r="G16" s="915">
        <f t="shared" si="0"/>
        <v>-196.20999999999998</v>
      </c>
      <c r="H16" s="915">
        <f t="shared" si="0"/>
        <v>-440.18000000000006</v>
      </c>
      <c r="I16" s="915">
        <f t="shared" si="0"/>
        <v>-459</v>
      </c>
      <c r="J16" s="915">
        <f t="shared" si="0"/>
        <v>-291</v>
      </c>
      <c r="K16" s="915">
        <f t="shared" si="0"/>
        <v>-777.27</v>
      </c>
      <c r="L16" s="1074">
        <f t="shared" ref="L16:M16" si="1">SUM(L6:L15)</f>
        <v>-500</v>
      </c>
      <c r="M16" s="1074">
        <f t="shared" si="1"/>
        <v>-768.34</v>
      </c>
      <c r="N16" s="964">
        <f t="shared" si="0"/>
        <v>-500</v>
      </c>
      <c r="O16" s="1683"/>
    </row>
    <row r="17" ht="16" thickTop="1" x14ac:dyDescent="0.2"/>
  </sheetData>
  <mergeCells count="4">
    <mergeCell ref="B2:N2"/>
    <mergeCell ref="B1:N1"/>
    <mergeCell ref="C5:J5"/>
    <mergeCell ref="K3:M3"/>
  </mergeCells>
  <conditionalFormatting sqref="B1">
    <cfRule type="cellIs" dxfId="106" priority="3" operator="equal">
      <formula>0</formula>
    </cfRule>
  </conditionalFormatting>
  <hyperlinks>
    <hyperlink ref="B1" location="Summary!A1" display="Summary!A1" xr:uid="{BCB515F2-5D37-4AD4-BB8F-E06458F57FD6}"/>
    <hyperlink ref="N16" location="Summary!T25" display="Summary!T25" xr:uid="{DF7574D4-2A78-4819-911E-7837F65EA683}"/>
  </hyperlinks>
  <printOptions horizontalCentered="1"/>
  <pageMargins left="0.51181102362204722" right="0"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FF00"/>
    <pageSetUpPr fitToPage="1"/>
  </sheetPr>
  <dimension ref="A1:Q46"/>
  <sheetViews>
    <sheetView zoomScaleNormal="100" zoomScaleSheetLayoutView="100" workbookViewId="0">
      <pane xSplit="5" ySplit="4" topLeftCell="F22" activePane="bottomRight" state="frozen"/>
      <selection activeCell="Y257" sqref="Y257"/>
      <selection pane="topRight" activeCell="Y257" sqref="Y257"/>
      <selection pane="bottomLeft" activeCell="Y257" sqref="Y257"/>
      <selection pane="bottomRight" activeCell="Y257" sqref="Y257"/>
    </sheetView>
  </sheetViews>
  <sheetFormatPr baseColWidth="10" defaultColWidth="8.83203125" defaultRowHeight="15" x14ac:dyDescent="0.2"/>
  <cols>
    <col min="1" max="1" width="2.33203125" style="14" customWidth="1"/>
    <col min="2" max="2" width="11.6640625" style="14" bestFit="1" customWidth="1"/>
    <col min="3" max="3" width="15.6640625" style="14" bestFit="1" customWidth="1"/>
    <col min="4" max="4" width="7.6640625" style="14" hidden="1" customWidth="1"/>
    <col min="5" max="5" width="26.5" style="14" bestFit="1" customWidth="1"/>
    <col min="6" max="6" width="6.5" style="2012" hidden="1" customWidth="1"/>
    <col min="7" max="7" width="5.1640625" style="2012" hidden="1" customWidth="1"/>
    <col min="8" max="9" width="8" style="2012" hidden="1" customWidth="1"/>
    <col min="10" max="10" width="7.83203125" style="2012" hidden="1" customWidth="1"/>
    <col min="11" max="11" width="8" style="2012" hidden="1" customWidth="1"/>
    <col min="12" max="12" width="7.33203125" style="2012" hidden="1" customWidth="1"/>
    <col min="13" max="13" width="7.83203125" style="2012" hidden="1" customWidth="1"/>
    <col min="14" max="14" width="7.33203125" style="2012" bestFit="1" customWidth="1"/>
    <col min="15" max="16" width="7.33203125" style="2012" customWidth="1"/>
    <col min="17" max="17" width="8" style="2012" bestFit="1" customWidth="1"/>
    <col min="18" max="16384" width="8.83203125" style="14"/>
  </cols>
  <sheetData>
    <row r="1" spans="1:17" s="1909" customFormat="1" ht="24" x14ac:dyDescent="0.2">
      <c r="A1" s="1929"/>
      <c r="B1" s="2289" t="s">
        <v>725</v>
      </c>
      <c r="C1" s="2289"/>
      <c r="D1" s="2289"/>
      <c r="E1" s="2289"/>
      <c r="F1" s="2289"/>
      <c r="G1" s="2289"/>
      <c r="H1" s="2289"/>
      <c r="I1" s="2289"/>
      <c r="J1" s="2289"/>
      <c r="K1" s="2289"/>
      <c r="L1" s="2289"/>
      <c r="M1" s="2289"/>
      <c r="N1" s="2289"/>
      <c r="O1" s="2289"/>
      <c r="P1" s="2289"/>
      <c r="Q1" s="2289"/>
    </row>
    <row r="2" spans="1:17" ht="21" x14ac:dyDescent="0.2">
      <c r="B2" s="2415" t="s">
        <v>1091</v>
      </c>
      <c r="C2" s="2415"/>
      <c r="D2" s="2415"/>
      <c r="E2" s="2415"/>
      <c r="F2" s="2415"/>
      <c r="G2" s="2415"/>
      <c r="H2" s="2415"/>
      <c r="I2" s="2415"/>
      <c r="J2" s="2415"/>
      <c r="K2" s="2415"/>
      <c r="L2" s="2415"/>
      <c r="M2" s="2415"/>
      <c r="N2" s="2415"/>
      <c r="O2" s="2415"/>
      <c r="P2" s="2415"/>
      <c r="Q2" s="2415"/>
    </row>
    <row r="3" spans="1:17" ht="28.75" customHeight="1" x14ac:dyDescent="0.2">
      <c r="B3" s="29" t="s">
        <v>365</v>
      </c>
      <c r="C3" s="8" t="s">
        <v>163</v>
      </c>
      <c r="D3" s="8" t="s">
        <v>164</v>
      </c>
      <c r="E3" s="8" t="s">
        <v>160</v>
      </c>
      <c r="F3" s="27">
        <v>2014</v>
      </c>
      <c r="G3" s="27">
        <v>2015</v>
      </c>
      <c r="H3" s="27">
        <v>2016</v>
      </c>
      <c r="I3" s="27">
        <v>2017</v>
      </c>
      <c r="J3" s="27">
        <v>2018</v>
      </c>
      <c r="K3" s="27">
        <v>2019</v>
      </c>
      <c r="L3" s="27">
        <v>2020</v>
      </c>
      <c r="M3" s="27">
        <v>2021</v>
      </c>
      <c r="N3" s="2337" t="s">
        <v>481</v>
      </c>
      <c r="O3" s="2337"/>
      <c r="P3" s="2337"/>
      <c r="Q3" s="1477" t="s">
        <v>519</v>
      </c>
    </row>
    <row r="4" spans="1:17" x14ac:dyDescent="0.2">
      <c r="B4" s="18"/>
      <c r="C4" s="18"/>
      <c r="D4" s="18"/>
      <c r="E4" s="18"/>
      <c r="F4" s="1259"/>
      <c r="G4" s="1259"/>
      <c r="H4" s="1259"/>
      <c r="I4" s="1259"/>
      <c r="J4" s="1259"/>
      <c r="K4" s="1259"/>
      <c r="L4" s="1259"/>
      <c r="M4" s="1259"/>
      <c r="N4" s="845">
        <v>2022</v>
      </c>
      <c r="O4" s="845">
        <v>2023</v>
      </c>
      <c r="P4" s="845">
        <v>2024</v>
      </c>
      <c r="Q4" s="845">
        <v>2025</v>
      </c>
    </row>
    <row r="5" spans="1:17" hidden="1" x14ac:dyDescent="0.2">
      <c r="B5" s="19">
        <v>42605</v>
      </c>
      <c r="C5" s="73" t="s">
        <v>554</v>
      </c>
      <c r="D5" s="73" t="s">
        <v>173</v>
      </c>
      <c r="E5" s="73" t="s">
        <v>174</v>
      </c>
      <c r="F5" s="916"/>
      <c r="G5" s="916"/>
      <c r="H5" s="916">
        <v>-1703.3</v>
      </c>
      <c r="I5" s="916"/>
      <c r="J5" s="916"/>
      <c r="K5" s="916"/>
      <c r="L5" s="916"/>
      <c r="M5" s="916"/>
      <c r="N5" s="916"/>
      <c r="O5" s="916"/>
      <c r="P5" s="916"/>
      <c r="Q5" s="916"/>
    </row>
    <row r="6" spans="1:17" hidden="1" x14ac:dyDescent="0.2">
      <c r="B6" s="19">
        <v>42436</v>
      </c>
      <c r="C6" s="73" t="s">
        <v>175</v>
      </c>
      <c r="D6" s="73" t="s">
        <v>176</v>
      </c>
      <c r="E6" s="73" t="s">
        <v>177</v>
      </c>
      <c r="F6" s="916"/>
      <c r="G6" s="916"/>
      <c r="H6" s="916">
        <v>-58</v>
      </c>
      <c r="I6" s="916"/>
      <c r="J6" s="916"/>
      <c r="K6" s="916"/>
      <c r="L6" s="916"/>
      <c r="M6" s="916"/>
      <c r="N6" s="916"/>
      <c r="O6" s="916"/>
      <c r="P6" s="916"/>
      <c r="Q6" s="984"/>
    </row>
    <row r="7" spans="1:17" hidden="1" x14ac:dyDescent="0.2">
      <c r="B7" s="19">
        <v>42402</v>
      </c>
      <c r="C7" s="73" t="s">
        <v>553</v>
      </c>
      <c r="D7" s="73" t="s">
        <v>178</v>
      </c>
      <c r="E7" s="73" t="s">
        <v>179</v>
      </c>
      <c r="F7" s="916"/>
      <c r="G7" s="916"/>
      <c r="H7" s="916">
        <v>-350</v>
      </c>
      <c r="I7" s="916"/>
      <c r="J7" s="916"/>
      <c r="K7" s="916"/>
      <c r="L7" s="916"/>
      <c r="M7" s="916"/>
      <c r="N7" s="916"/>
      <c r="O7" s="916"/>
      <c r="P7" s="916"/>
      <c r="Q7" s="984"/>
    </row>
    <row r="8" spans="1:17" hidden="1" x14ac:dyDescent="0.2">
      <c r="B8" s="19">
        <v>41746</v>
      </c>
      <c r="C8" s="73" t="s">
        <v>553</v>
      </c>
      <c r="D8" s="73" t="s">
        <v>180</v>
      </c>
      <c r="E8" s="73" t="s">
        <v>181</v>
      </c>
      <c r="F8" s="916">
        <v>-932.4</v>
      </c>
      <c r="G8" s="916"/>
      <c r="H8" s="916"/>
      <c r="I8" s="916"/>
      <c r="J8" s="916"/>
      <c r="K8" s="916"/>
      <c r="L8" s="916"/>
      <c r="M8" s="916"/>
      <c r="N8" s="916"/>
      <c r="O8" s="916"/>
      <c r="P8" s="916"/>
      <c r="Q8" s="984"/>
    </row>
    <row r="9" spans="1:17" hidden="1" x14ac:dyDescent="0.2">
      <c r="B9" s="52">
        <v>2017</v>
      </c>
      <c r="C9" s="73" t="s">
        <v>553</v>
      </c>
      <c r="D9" s="73"/>
      <c r="E9" s="73" t="s">
        <v>419</v>
      </c>
      <c r="F9" s="916"/>
      <c r="G9" s="916"/>
      <c r="H9" s="916"/>
      <c r="I9" s="916">
        <v>-1200</v>
      </c>
      <c r="J9" s="916"/>
      <c r="K9" s="916"/>
      <c r="L9" s="916"/>
      <c r="M9" s="916"/>
      <c r="N9" s="916"/>
      <c r="O9" s="916"/>
      <c r="P9" s="916"/>
      <c r="Q9" s="984"/>
    </row>
    <row r="10" spans="1:17" hidden="1" x14ac:dyDescent="0.2">
      <c r="B10" s="52">
        <v>2017</v>
      </c>
      <c r="C10" s="73" t="s">
        <v>554</v>
      </c>
      <c r="D10" s="73"/>
      <c r="E10" s="73" t="s">
        <v>305</v>
      </c>
      <c r="F10" s="916"/>
      <c r="G10" s="916"/>
      <c r="H10" s="916"/>
      <c r="I10" s="916">
        <v>-2568</v>
      </c>
      <c r="J10" s="916"/>
      <c r="K10" s="916"/>
      <c r="L10" s="916"/>
      <c r="M10" s="916"/>
      <c r="N10" s="916"/>
      <c r="O10" s="916"/>
      <c r="P10" s="916"/>
      <c r="Q10" s="984"/>
    </row>
    <row r="11" spans="1:17" hidden="1" x14ac:dyDescent="0.2">
      <c r="B11" s="52">
        <v>2017</v>
      </c>
      <c r="C11" s="73" t="s">
        <v>642</v>
      </c>
      <c r="D11" s="73"/>
      <c r="E11" s="73" t="s">
        <v>422</v>
      </c>
      <c r="F11" s="916"/>
      <c r="G11" s="916"/>
      <c r="H11" s="916"/>
      <c r="I11" s="916">
        <v>-1920</v>
      </c>
      <c r="J11" s="916"/>
      <c r="K11" s="916"/>
      <c r="L11" s="916"/>
      <c r="M11" s="916"/>
      <c r="N11" s="916"/>
      <c r="O11" s="916"/>
      <c r="P11" s="916"/>
      <c r="Q11" s="984"/>
    </row>
    <row r="12" spans="1:17" hidden="1" x14ac:dyDescent="0.2">
      <c r="B12" s="2417">
        <v>2018</v>
      </c>
      <c r="C12" s="2416" t="s">
        <v>643</v>
      </c>
      <c r="D12" s="73"/>
      <c r="E12" s="73" t="s">
        <v>625</v>
      </c>
      <c r="F12" s="916"/>
      <c r="G12" s="916"/>
      <c r="H12" s="916"/>
      <c r="I12" s="916"/>
      <c r="J12" s="916">
        <v>-148.5</v>
      </c>
      <c r="K12" s="916"/>
      <c r="L12" s="916"/>
      <c r="M12" s="916"/>
      <c r="N12" s="916"/>
      <c r="O12" s="916"/>
      <c r="P12" s="916"/>
      <c r="Q12" s="984"/>
    </row>
    <row r="13" spans="1:17" hidden="1" x14ac:dyDescent="0.2">
      <c r="B13" s="2417"/>
      <c r="C13" s="2416"/>
      <c r="D13" s="73"/>
      <c r="E13" s="73" t="s">
        <v>632</v>
      </c>
      <c r="F13" s="916"/>
      <c r="G13" s="916"/>
      <c r="H13" s="916"/>
      <c r="I13" s="916"/>
      <c r="J13" s="916"/>
      <c r="K13" s="916"/>
      <c r="L13" s="916"/>
      <c r="M13" s="916"/>
      <c r="N13" s="916"/>
      <c r="O13" s="916"/>
      <c r="P13" s="916"/>
      <c r="Q13" s="984"/>
    </row>
    <row r="14" spans="1:17" hidden="1" x14ac:dyDescent="0.2">
      <c r="B14" s="52">
        <v>2018</v>
      </c>
      <c r="C14" s="73" t="s">
        <v>553</v>
      </c>
      <c r="D14" s="73" t="s">
        <v>641</v>
      </c>
      <c r="E14" s="73" t="s">
        <v>641</v>
      </c>
      <c r="F14" s="916"/>
      <c r="G14" s="916"/>
      <c r="H14" s="916"/>
      <c r="I14" s="916"/>
      <c r="J14" s="916">
        <v>-738</v>
      </c>
      <c r="K14" s="916"/>
      <c r="L14" s="916"/>
      <c r="M14" s="916"/>
      <c r="N14" s="916"/>
      <c r="O14" s="916"/>
      <c r="P14" s="916"/>
      <c r="Q14" s="984"/>
    </row>
    <row r="15" spans="1:17" hidden="1" x14ac:dyDescent="0.2">
      <c r="B15" s="52">
        <v>2018</v>
      </c>
      <c r="C15" s="73" t="s">
        <v>553</v>
      </c>
      <c r="D15" s="73"/>
      <c r="E15" s="73" t="s">
        <v>668</v>
      </c>
      <c r="F15" s="916"/>
      <c r="G15" s="916"/>
      <c r="H15" s="916"/>
      <c r="I15" s="916"/>
      <c r="J15" s="916">
        <v>-351.6</v>
      </c>
      <c r="K15" s="916"/>
      <c r="L15" s="916"/>
      <c r="M15" s="916"/>
      <c r="N15" s="916"/>
      <c r="O15" s="916"/>
      <c r="P15" s="916"/>
      <c r="Q15" s="984"/>
    </row>
    <row r="16" spans="1:17" hidden="1" x14ac:dyDescent="0.2">
      <c r="B16" s="52">
        <v>2018</v>
      </c>
      <c r="C16" s="73" t="s">
        <v>553</v>
      </c>
      <c r="D16" s="73"/>
      <c r="E16" s="73" t="s">
        <v>669</v>
      </c>
      <c r="F16" s="916"/>
      <c r="G16" s="916"/>
      <c r="H16" s="916"/>
      <c r="I16" s="916"/>
      <c r="J16" s="916">
        <v>-4.5599999999999996</v>
      </c>
      <c r="K16" s="916"/>
      <c r="L16" s="916"/>
      <c r="M16" s="916"/>
      <c r="N16" s="916"/>
      <c r="O16" s="916"/>
      <c r="P16" s="916"/>
      <c r="Q16" s="984"/>
    </row>
    <row r="17" spans="2:17" hidden="1" x14ac:dyDescent="0.2">
      <c r="B17" s="52">
        <v>2019</v>
      </c>
      <c r="C17" s="73"/>
      <c r="D17" s="73"/>
      <c r="E17" s="12" t="s">
        <v>974</v>
      </c>
      <c r="F17" s="916"/>
      <c r="G17" s="916"/>
      <c r="H17" s="916"/>
      <c r="I17" s="916"/>
      <c r="J17" s="916"/>
      <c r="K17" s="916">
        <v>-8815</v>
      </c>
      <c r="L17" s="916"/>
      <c r="M17" s="916"/>
      <c r="N17" s="707"/>
      <c r="O17" s="707"/>
      <c r="P17" s="707"/>
      <c r="Q17" s="984"/>
    </row>
    <row r="18" spans="2:17" hidden="1" x14ac:dyDescent="0.2">
      <c r="B18" s="52">
        <v>2020</v>
      </c>
      <c r="C18" s="73"/>
      <c r="D18" s="73"/>
      <c r="E18" s="12" t="s">
        <v>860</v>
      </c>
      <c r="F18" s="916"/>
      <c r="G18" s="916"/>
      <c r="H18" s="916"/>
      <c r="I18" s="916"/>
      <c r="J18" s="916"/>
      <c r="K18" s="916"/>
      <c r="L18" s="916">
        <v>-615</v>
      </c>
      <c r="M18" s="916"/>
      <c r="N18" s="707"/>
      <c r="O18" s="707"/>
      <c r="P18" s="707"/>
      <c r="Q18" s="984"/>
    </row>
    <row r="19" spans="2:17" hidden="1" x14ac:dyDescent="0.2">
      <c r="B19" s="52">
        <v>2021</v>
      </c>
      <c r="C19" s="73"/>
      <c r="D19" s="73"/>
      <c r="E19" s="12" t="s">
        <v>966</v>
      </c>
      <c r="F19" s="916"/>
      <c r="G19" s="916"/>
      <c r="H19" s="916"/>
      <c r="I19" s="916"/>
      <c r="J19" s="916"/>
      <c r="K19" s="916"/>
      <c r="L19" s="916"/>
      <c r="M19" s="916">
        <v>-1350</v>
      </c>
      <c r="N19" s="707"/>
      <c r="O19" s="707"/>
      <c r="P19" s="707"/>
      <c r="Q19" s="984"/>
    </row>
    <row r="20" spans="2:17" hidden="1" x14ac:dyDescent="0.2">
      <c r="B20" s="52">
        <v>2021</v>
      </c>
      <c r="C20" s="73"/>
      <c r="D20" s="73"/>
      <c r="E20" s="12" t="s">
        <v>975</v>
      </c>
      <c r="F20" s="916"/>
      <c r="G20" s="916"/>
      <c r="H20" s="916"/>
      <c r="I20" s="916"/>
      <c r="J20" s="916"/>
      <c r="K20" s="916"/>
      <c r="L20" s="916"/>
      <c r="M20" s="916">
        <v>-100</v>
      </c>
      <c r="N20" s="707"/>
      <c r="O20" s="707"/>
      <c r="P20" s="707"/>
      <c r="Q20" s="984"/>
    </row>
    <row r="21" spans="2:17" hidden="1" x14ac:dyDescent="0.2">
      <c r="B21" s="52">
        <v>2023</v>
      </c>
      <c r="C21" s="73"/>
      <c r="D21" s="73"/>
      <c r="E21" s="12"/>
      <c r="F21" s="916"/>
      <c r="G21" s="916"/>
      <c r="H21" s="916"/>
      <c r="I21" s="916"/>
      <c r="J21" s="916"/>
      <c r="K21" s="916"/>
      <c r="L21" s="916"/>
      <c r="M21" s="916"/>
      <c r="N21" s="707"/>
      <c r="O21" s="707"/>
      <c r="P21" s="707"/>
      <c r="Q21" s="985"/>
    </row>
    <row r="22" spans="2:17" x14ac:dyDescent="0.2">
      <c r="B22" s="52"/>
      <c r="C22" s="73"/>
      <c r="D22" s="73"/>
      <c r="E22" s="12"/>
      <c r="F22" s="916"/>
      <c r="G22" s="916"/>
      <c r="H22" s="916"/>
      <c r="I22" s="916"/>
      <c r="J22" s="916"/>
      <c r="K22" s="916"/>
      <c r="L22" s="916"/>
      <c r="M22" s="916"/>
      <c r="N22" s="707"/>
      <c r="O22" s="707"/>
      <c r="P22" s="707"/>
      <c r="Q22" s="947"/>
    </row>
    <row r="23" spans="2:17" x14ac:dyDescent="0.2">
      <c r="B23" s="52"/>
      <c r="C23" s="73"/>
      <c r="D23" s="73"/>
      <c r="E23" s="12"/>
      <c r="F23" s="916"/>
      <c r="G23" s="916"/>
      <c r="H23" s="916"/>
      <c r="I23" s="916"/>
      <c r="J23" s="916"/>
      <c r="K23" s="916"/>
      <c r="L23" s="916"/>
      <c r="M23" s="916"/>
      <c r="N23" s="707"/>
      <c r="O23" s="707"/>
      <c r="P23" s="707"/>
      <c r="Q23" s="947"/>
    </row>
    <row r="24" spans="2:17" x14ac:dyDescent="0.2">
      <c r="B24" s="52"/>
      <c r="C24" s="73"/>
      <c r="D24" s="73"/>
      <c r="E24" s="12"/>
      <c r="F24" s="916"/>
      <c r="G24" s="916"/>
      <c r="H24" s="916"/>
      <c r="I24" s="916"/>
      <c r="J24" s="916"/>
      <c r="K24" s="916"/>
      <c r="L24" s="916"/>
      <c r="M24" s="916"/>
      <c r="N24" s="707"/>
      <c r="O24" s="707"/>
      <c r="P24" s="707"/>
      <c r="Q24" s="947"/>
    </row>
    <row r="25" spans="2:17" x14ac:dyDescent="0.2">
      <c r="B25" s="52"/>
      <c r="C25" s="73"/>
      <c r="D25" s="73"/>
      <c r="E25" s="12"/>
      <c r="F25" s="916"/>
      <c r="G25" s="916"/>
      <c r="H25" s="916"/>
      <c r="I25" s="916"/>
      <c r="J25" s="916"/>
      <c r="K25" s="916"/>
      <c r="L25" s="916"/>
      <c r="M25" s="916"/>
      <c r="N25" s="707"/>
      <c r="O25" s="707"/>
      <c r="P25" s="707"/>
      <c r="Q25" s="947"/>
    </row>
    <row r="26" spans="2:17" x14ac:dyDescent="0.2">
      <c r="B26" s="51"/>
      <c r="C26" s="12"/>
      <c r="D26" s="12"/>
      <c r="E26" s="12"/>
      <c r="F26" s="708"/>
      <c r="G26" s="708"/>
      <c r="H26" s="708"/>
      <c r="I26" s="708"/>
      <c r="J26" s="708"/>
      <c r="K26" s="708"/>
      <c r="L26" s="708"/>
      <c r="M26" s="708"/>
      <c r="N26" s="708"/>
      <c r="O26" s="708"/>
      <c r="P26" s="708"/>
      <c r="Q26" s="984">
        <v>0</v>
      </c>
    </row>
    <row r="27" spans="2:17" ht="16" thickBot="1" x14ac:dyDescent="0.25">
      <c r="B27" s="23"/>
      <c r="C27" s="24"/>
      <c r="D27" s="24"/>
      <c r="E27" s="1637" t="s">
        <v>1092</v>
      </c>
      <c r="F27" s="918">
        <f t="shared" ref="F27:Q27" si="0">SUM(F5:F26)</f>
        <v>-932.4</v>
      </c>
      <c r="G27" s="918">
        <f t="shared" si="0"/>
        <v>0</v>
      </c>
      <c r="H27" s="918">
        <f t="shared" si="0"/>
        <v>-2111.3000000000002</v>
      </c>
      <c r="I27" s="918">
        <f t="shared" si="0"/>
        <v>-5688</v>
      </c>
      <c r="J27" s="918">
        <f t="shared" si="0"/>
        <v>-1242.6599999999999</v>
      </c>
      <c r="K27" s="919">
        <f t="shared" si="0"/>
        <v>-8815</v>
      </c>
      <c r="L27" s="920">
        <f t="shared" si="0"/>
        <v>-615</v>
      </c>
      <c r="M27" s="733">
        <f t="shared" si="0"/>
        <v>-1450</v>
      </c>
      <c r="N27" s="920">
        <f t="shared" si="0"/>
        <v>0</v>
      </c>
      <c r="O27" s="920"/>
      <c r="P27" s="920"/>
      <c r="Q27" s="964">
        <f t="shared" si="0"/>
        <v>0</v>
      </c>
    </row>
    <row r="28" spans="2:17" ht="16" thickTop="1" x14ac:dyDescent="0.2">
      <c r="B28" s="314"/>
      <c r="C28" s="2"/>
      <c r="D28" s="2"/>
      <c r="E28" s="2"/>
      <c r="F28" s="1079"/>
      <c r="G28" s="1079"/>
      <c r="H28" s="1079"/>
      <c r="I28" s="1079"/>
      <c r="J28" s="1079"/>
      <c r="K28" s="1078"/>
      <c r="L28" s="1078"/>
      <c r="M28" s="1079"/>
      <c r="N28" s="1078"/>
      <c r="O28" s="1078"/>
      <c r="P28" s="1078"/>
      <c r="Q28" s="1080"/>
    </row>
    <row r="29" spans="2:17" ht="21" x14ac:dyDescent="0.2">
      <c r="B29" s="2415" t="s">
        <v>976</v>
      </c>
      <c r="C29" s="2415"/>
      <c r="D29" s="2415"/>
      <c r="E29" s="2415"/>
      <c r="F29" s="2415"/>
      <c r="G29" s="2415"/>
      <c r="H29" s="2415"/>
      <c r="I29" s="2415"/>
      <c r="J29" s="2415"/>
      <c r="K29" s="2415"/>
      <c r="L29" s="2415"/>
      <c r="M29" s="2415"/>
      <c r="N29" s="2415"/>
      <c r="O29" s="2415"/>
      <c r="P29" s="2415"/>
      <c r="Q29" s="2415"/>
    </row>
    <row r="30" spans="2:17" hidden="1" x14ac:dyDescent="0.2">
      <c r="B30" s="19">
        <v>41746</v>
      </c>
      <c r="C30" s="73" t="s">
        <v>553</v>
      </c>
      <c r="D30" s="73" t="s">
        <v>180</v>
      </c>
      <c r="E30" s="73" t="s">
        <v>181</v>
      </c>
      <c r="F30" s="916">
        <v>-932.4</v>
      </c>
      <c r="G30" s="916"/>
      <c r="H30" s="916"/>
      <c r="I30" s="916"/>
      <c r="J30" s="916"/>
      <c r="K30" s="916"/>
      <c r="L30" s="916"/>
      <c r="M30" s="916"/>
      <c r="N30" s="916"/>
      <c r="O30" s="916"/>
      <c r="P30" s="916"/>
      <c r="Q30" s="984"/>
    </row>
    <row r="31" spans="2:17" hidden="1" x14ac:dyDescent="0.2">
      <c r="B31" s="19">
        <v>42605</v>
      </c>
      <c r="C31" s="73" t="s">
        <v>554</v>
      </c>
      <c r="D31" s="73" t="s">
        <v>173</v>
      </c>
      <c r="E31" s="73" t="s">
        <v>174</v>
      </c>
      <c r="F31" s="916"/>
      <c r="G31" s="916"/>
      <c r="H31" s="916">
        <v>-1703.3</v>
      </c>
      <c r="I31" s="916"/>
      <c r="J31" s="916"/>
      <c r="K31" s="916"/>
      <c r="L31" s="916"/>
      <c r="M31" s="916"/>
      <c r="N31" s="916"/>
      <c r="O31" s="916"/>
      <c r="P31" s="916"/>
      <c r="Q31" s="984"/>
    </row>
    <row r="32" spans="2:17" hidden="1" x14ac:dyDescent="0.2">
      <c r="B32" s="19">
        <v>42402</v>
      </c>
      <c r="C32" s="73" t="s">
        <v>553</v>
      </c>
      <c r="D32" s="73" t="s">
        <v>178</v>
      </c>
      <c r="E32" s="73" t="s">
        <v>179</v>
      </c>
      <c r="F32" s="916"/>
      <c r="G32" s="916"/>
      <c r="H32" s="916">
        <v>-350</v>
      </c>
      <c r="I32" s="916"/>
      <c r="J32" s="916"/>
      <c r="K32" s="916"/>
      <c r="L32" s="916"/>
      <c r="M32" s="916"/>
      <c r="N32" s="916"/>
      <c r="O32" s="916"/>
      <c r="P32" s="916"/>
      <c r="Q32" s="984"/>
    </row>
    <row r="33" spans="2:17" hidden="1" x14ac:dyDescent="0.2">
      <c r="B33" s="52">
        <v>2017</v>
      </c>
      <c r="C33" s="73" t="s">
        <v>553</v>
      </c>
      <c r="D33" s="73"/>
      <c r="E33" s="73" t="s">
        <v>419</v>
      </c>
      <c r="F33" s="916"/>
      <c r="G33" s="916"/>
      <c r="H33" s="916"/>
      <c r="I33" s="916">
        <v>-1200</v>
      </c>
      <c r="J33" s="916"/>
      <c r="K33" s="916"/>
      <c r="L33" s="916"/>
      <c r="M33" s="916"/>
      <c r="N33" s="916"/>
      <c r="O33" s="916"/>
      <c r="P33" s="916"/>
      <c r="Q33" s="984"/>
    </row>
    <row r="34" spans="2:17" hidden="1" x14ac:dyDescent="0.2">
      <c r="B34" s="52">
        <v>2017</v>
      </c>
      <c r="C34" s="73" t="s">
        <v>554</v>
      </c>
      <c r="D34" s="73"/>
      <c r="E34" s="73" t="s">
        <v>361</v>
      </c>
      <c r="F34" s="916"/>
      <c r="G34" s="916"/>
      <c r="H34" s="916"/>
      <c r="I34" s="916">
        <v>-2568</v>
      </c>
      <c r="J34" s="916"/>
      <c r="K34" s="916"/>
      <c r="L34" s="916"/>
      <c r="M34" s="916"/>
      <c r="N34" s="916"/>
      <c r="O34" s="916"/>
      <c r="P34" s="916"/>
      <c r="Q34" s="984"/>
    </row>
    <row r="35" spans="2:17" hidden="1" x14ac:dyDescent="0.2">
      <c r="B35" s="52">
        <v>2017</v>
      </c>
      <c r="C35" s="73" t="s">
        <v>642</v>
      </c>
      <c r="D35" s="73"/>
      <c r="E35" s="73" t="s">
        <v>422</v>
      </c>
      <c r="F35" s="916"/>
      <c r="G35" s="916"/>
      <c r="H35" s="916"/>
      <c r="I35" s="916">
        <v>-1920</v>
      </c>
      <c r="J35" s="916"/>
      <c r="K35" s="916"/>
      <c r="L35" s="916"/>
      <c r="M35" s="916"/>
      <c r="N35" s="916"/>
      <c r="O35" s="916"/>
      <c r="P35" s="916"/>
      <c r="Q35" s="984"/>
    </row>
    <row r="36" spans="2:17" hidden="1" x14ac:dyDescent="0.2">
      <c r="B36" s="52">
        <v>2018</v>
      </c>
      <c r="C36" s="73" t="s">
        <v>553</v>
      </c>
      <c r="D36" s="73" t="s">
        <v>641</v>
      </c>
      <c r="E36" s="73" t="s">
        <v>641</v>
      </c>
      <c r="F36" s="916"/>
      <c r="G36" s="916"/>
      <c r="H36" s="916"/>
      <c r="I36" s="916"/>
      <c r="J36" s="916">
        <v>-738</v>
      </c>
      <c r="K36" s="916"/>
      <c r="L36" s="916"/>
      <c r="M36" s="916"/>
      <c r="N36" s="916"/>
      <c r="O36" s="916"/>
      <c r="P36" s="916"/>
      <c r="Q36" s="984"/>
    </row>
    <row r="37" spans="2:17" hidden="1" x14ac:dyDescent="0.2">
      <c r="B37" s="52">
        <v>2020</v>
      </c>
      <c r="C37" s="73"/>
      <c r="D37" s="73"/>
      <c r="E37" s="12" t="s">
        <v>860</v>
      </c>
      <c r="F37" s="916"/>
      <c r="G37" s="916"/>
      <c r="H37" s="916"/>
      <c r="I37" s="916"/>
      <c r="J37" s="916"/>
      <c r="K37" s="916"/>
      <c r="L37" s="916">
        <v>-615</v>
      </c>
      <c r="M37" s="916"/>
      <c r="N37" s="707"/>
      <c r="O37" s="707"/>
      <c r="P37" s="707"/>
      <c r="Q37" s="985"/>
    </row>
    <row r="38" spans="2:17" hidden="1" x14ac:dyDescent="0.2">
      <c r="B38" s="52">
        <v>2021</v>
      </c>
      <c r="C38" s="73"/>
      <c r="D38" s="73"/>
      <c r="E38" s="12" t="s">
        <v>966</v>
      </c>
      <c r="F38" s="916"/>
      <c r="G38" s="916"/>
      <c r="H38" s="916"/>
      <c r="I38" s="916"/>
      <c r="J38" s="916"/>
      <c r="K38" s="916"/>
      <c r="L38" s="916"/>
      <c r="M38" s="916">
        <v>-1350</v>
      </c>
      <c r="N38" s="707"/>
      <c r="O38" s="707"/>
      <c r="P38" s="707"/>
      <c r="Q38" s="985"/>
    </row>
    <row r="39" spans="2:17" x14ac:dyDescent="0.2">
      <c r="B39" s="52"/>
      <c r="C39" s="73"/>
      <c r="D39" s="73"/>
      <c r="E39" s="12"/>
      <c r="F39" s="916"/>
      <c r="G39" s="916"/>
      <c r="H39" s="916"/>
      <c r="I39" s="916"/>
      <c r="J39" s="916"/>
      <c r="K39" s="916"/>
      <c r="L39" s="916"/>
      <c r="M39" s="916"/>
      <c r="N39" s="707"/>
      <c r="O39" s="707"/>
      <c r="P39" s="707"/>
      <c r="Q39" s="947"/>
    </row>
    <row r="40" spans="2:17" x14ac:dyDescent="0.2">
      <c r="B40" s="52"/>
      <c r="C40" s="73"/>
      <c r="D40" s="73"/>
      <c r="E40" s="12"/>
      <c r="F40" s="916"/>
      <c r="G40" s="916"/>
      <c r="H40" s="916"/>
      <c r="I40" s="916"/>
      <c r="J40" s="916"/>
      <c r="K40" s="916"/>
      <c r="L40" s="916"/>
      <c r="M40" s="916"/>
      <c r="N40" s="707"/>
      <c r="O40" s="707"/>
      <c r="P40" s="707"/>
      <c r="Q40" s="947"/>
    </row>
    <row r="41" spans="2:17" x14ac:dyDescent="0.2">
      <c r="B41" s="52"/>
      <c r="C41" s="73"/>
      <c r="D41" s="73"/>
      <c r="E41" s="12"/>
      <c r="F41" s="916"/>
      <c r="G41" s="916"/>
      <c r="H41" s="916"/>
      <c r="I41" s="916"/>
      <c r="J41" s="916"/>
      <c r="K41" s="916"/>
      <c r="L41" s="916"/>
      <c r="M41" s="916"/>
      <c r="N41" s="707"/>
      <c r="O41" s="707"/>
      <c r="P41" s="707"/>
      <c r="Q41" s="947"/>
    </row>
    <row r="42" spans="2:17" x14ac:dyDescent="0.2">
      <c r="B42" s="52"/>
      <c r="C42" s="73"/>
      <c r="D42" s="73"/>
      <c r="E42" s="12"/>
      <c r="F42" s="916"/>
      <c r="G42" s="916"/>
      <c r="H42" s="916"/>
      <c r="I42" s="916"/>
      <c r="J42" s="916"/>
      <c r="K42" s="916"/>
      <c r="L42" s="916"/>
      <c r="M42" s="916"/>
      <c r="N42" s="707"/>
      <c r="O42" s="707"/>
      <c r="P42" s="707"/>
      <c r="Q42" s="947"/>
    </row>
    <row r="43" spans="2:17" x14ac:dyDescent="0.2">
      <c r="B43" s="52"/>
      <c r="C43" s="73"/>
      <c r="D43" s="73"/>
      <c r="E43" s="12"/>
      <c r="F43" s="916"/>
      <c r="G43" s="916"/>
      <c r="H43" s="916"/>
      <c r="I43" s="916"/>
      <c r="J43" s="916"/>
      <c r="K43" s="916"/>
      <c r="L43" s="916"/>
      <c r="M43" s="916"/>
      <c r="N43" s="707"/>
      <c r="O43" s="707"/>
      <c r="P43" s="707"/>
      <c r="Q43" s="947"/>
    </row>
    <row r="44" spans="2:17" x14ac:dyDescent="0.2">
      <c r="B44" s="52"/>
      <c r="C44" s="73"/>
      <c r="D44" s="73"/>
      <c r="E44" s="12"/>
      <c r="F44" s="916"/>
      <c r="G44" s="916"/>
      <c r="H44" s="916"/>
      <c r="I44" s="916"/>
      <c r="J44" s="916"/>
      <c r="K44" s="916"/>
      <c r="L44" s="916"/>
      <c r="M44" s="916"/>
      <c r="N44" s="707"/>
      <c r="O44" s="707"/>
      <c r="P44" s="707"/>
      <c r="Q44" s="985">
        <v>0</v>
      </c>
    </row>
    <row r="45" spans="2:17" ht="16" thickBot="1" x14ac:dyDescent="0.25">
      <c r="B45" s="23"/>
      <c r="C45" s="24"/>
      <c r="D45" s="24"/>
      <c r="E45" s="1637" t="s">
        <v>976</v>
      </c>
      <c r="F45" s="733">
        <f t="shared" ref="F45:M45" si="1">SUM(F30:F44)</f>
        <v>-932.4</v>
      </c>
      <c r="G45" s="733">
        <f t="shared" si="1"/>
        <v>0</v>
      </c>
      <c r="H45" s="733">
        <f t="shared" si="1"/>
        <v>-2053.3000000000002</v>
      </c>
      <c r="I45" s="733">
        <f t="shared" si="1"/>
        <v>-5688</v>
      </c>
      <c r="J45" s="733">
        <f t="shared" si="1"/>
        <v>-738</v>
      </c>
      <c r="K45" s="733">
        <f t="shared" si="1"/>
        <v>0</v>
      </c>
      <c r="L45" s="733">
        <f t="shared" si="1"/>
        <v>-615</v>
      </c>
      <c r="M45" s="733">
        <f t="shared" si="1"/>
        <v>-1350</v>
      </c>
      <c r="N45" s="733">
        <f>SUM(N30:N44)</f>
        <v>0</v>
      </c>
      <c r="O45" s="733"/>
      <c r="P45" s="733"/>
      <c r="Q45" s="964">
        <f>SUM(Q30:Q44)</f>
        <v>0</v>
      </c>
    </row>
    <row r="46" spans="2:17" ht="16" thickTop="1" x14ac:dyDescent="0.2"/>
  </sheetData>
  <mergeCells count="6">
    <mergeCell ref="B1:Q1"/>
    <mergeCell ref="B2:Q2"/>
    <mergeCell ref="B29:Q29"/>
    <mergeCell ref="C12:C13"/>
    <mergeCell ref="B12:B13"/>
    <mergeCell ref="N3:P3"/>
  </mergeCells>
  <conditionalFormatting sqref="A1:B1">
    <cfRule type="cellIs" dxfId="105" priority="6" operator="equal">
      <formula>0</formula>
    </cfRule>
  </conditionalFormatting>
  <hyperlinks>
    <hyperlink ref="B1" location="Summary!A1" display="Summary!A1" xr:uid="{51C3D5B4-EFE4-4586-9377-4D122D974983}"/>
    <hyperlink ref="Q45" location="Summary!T26" display="Summary!T26" xr:uid="{547F480D-E50C-4D71-95FD-D9D0B8CF7783}"/>
    <hyperlink ref="Q27" location="Summary!T30" display="Summary!T30" xr:uid="{C84157E4-DE5D-41B0-9108-A0585E25A3EA}"/>
  </hyperlinks>
  <printOptions horizontalCentered="1"/>
  <pageMargins left="0.31496062992125984" right="0"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FF00"/>
    <pageSetUpPr fitToPage="1"/>
  </sheetPr>
  <dimension ref="B1:Q18"/>
  <sheetViews>
    <sheetView zoomScaleNormal="100" zoomScaleSheetLayoutView="100" workbookViewId="0">
      <pane xSplit="2" ySplit="3" topLeftCell="C4" activePane="bottomRight" state="frozen"/>
      <selection activeCell="L17" sqref="L17"/>
      <selection pane="topRight" activeCell="L17" sqref="L17"/>
      <selection pane="bottomLeft" activeCell="L17" sqref="L17"/>
      <selection pane="bottomRight" activeCell="L17" sqref="L17"/>
    </sheetView>
  </sheetViews>
  <sheetFormatPr baseColWidth="10" defaultColWidth="8.83203125" defaultRowHeight="15" x14ac:dyDescent="0.2"/>
  <cols>
    <col min="1" max="1" width="1.5" style="14" customWidth="1"/>
    <col min="2" max="2" width="19.83203125" style="14" bestFit="1" customWidth="1"/>
    <col min="3" max="3" width="16.6640625" style="274" bestFit="1" customWidth="1"/>
    <col min="4" max="6" width="8.83203125" style="2017" hidden="1" customWidth="1"/>
    <col min="7" max="7" width="7.83203125" style="2017" hidden="1" customWidth="1"/>
    <col min="8" max="8" width="8.83203125" style="2017" hidden="1" customWidth="1"/>
    <col min="9" max="10" width="8.83203125" style="2017" bestFit="1" customWidth="1"/>
    <col min="11" max="11" width="8.83203125" style="2017" customWidth="1"/>
    <col min="12" max="12" width="8.83203125" style="2017" bestFit="1" customWidth="1"/>
    <col min="13" max="13" width="10.5" style="14" bestFit="1" customWidth="1"/>
    <col min="14" max="14" width="15.6640625" style="14" bestFit="1" customWidth="1"/>
    <col min="15" max="15" width="8.83203125" style="14" customWidth="1"/>
    <col min="16" max="16" width="30.1640625" style="14" bestFit="1" customWidth="1"/>
    <col min="17" max="17" width="7.83203125" style="14" bestFit="1" customWidth="1"/>
    <col min="18" max="16384" width="8.83203125" style="14"/>
  </cols>
  <sheetData>
    <row r="1" spans="2:17" s="1909" customFormat="1" ht="24" x14ac:dyDescent="0.2">
      <c r="B1" s="2289" t="s">
        <v>725</v>
      </c>
      <c r="C1" s="2289"/>
      <c r="D1" s="2289"/>
      <c r="E1" s="2289"/>
      <c r="F1" s="2289"/>
      <c r="G1" s="2289"/>
      <c r="H1" s="2289"/>
      <c r="I1" s="2289"/>
      <c r="J1" s="2289"/>
      <c r="K1" s="2289"/>
      <c r="L1" s="2289"/>
    </row>
    <row r="2" spans="2:17" x14ac:dyDescent="0.2">
      <c r="B2" s="2418" t="s">
        <v>19</v>
      </c>
      <c r="C2" s="2418"/>
      <c r="D2" s="2418"/>
      <c r="E2" s="2418"/>
      <c r="F2" s="2418"/>
      <c r="G2" s="2418"/>
      <c r="H2" s="2418"/>
      <c r="I2" s="2418"/>
      <c r="J2" s="2418"/>
      <c r="K2" s="2418"/>
      <c r="L2" s="2418"/>
    </row>
    <row r="3" spans="2:17" x14ac:dyDescent="0.2">
      <c r="B3" s="18"/>
      <c r="C3" s="52"/>
      <c r="D3" s="481">
        <v>2018</v>
      </c>
      <c r="E3" s="481">
        <v>2019</v>
      </c>
      <c r="F3" s="481">
        <v>2020</v>
      </c>
      <c r="G3" s="481">
        <v>2021</v>
      </c>
      <c r="H3" s="481">
        <v>2021</v>
      </c>
      <c r="I3" s="2420" t="s">
        <v>481</v>
      </c>
      <c r="J3" s="2420"/>
      <c r="K3" s="2420"/>
      <c r="L3" s="1478" t="s">
        <v>519</v>
      </c>
    </row>
    <row r="4" spans="2:17" x14ac:dyDescent="0.2">
      <c r="B4" s="18"/>
      <c r="C4" s="52"/>
      <c r="D4" s="2419" t="s">
        <v>520</v>
      </c>
      <c r="E4" s="2419"/>
      <c r="F4" s="2419"/>
      <c r="G4" s="2419"/>
      <c r="H4" s="481" t="s">
        <v>521</v>
      </c>
      <c r="I4" s="481">
        <v>2022</v>
      </c>
      <c r="J4" s="1075">
        <v>2023</v>
      </c>
      <c r="K4" s="481">
        <v>2024</v>
      </c>
      <c r="L4" s="481">
        <v>2025</v>
      </c>
    </row>
    <row r="5" spans="2:17" x14ac:dyDescent="0.2">
      <c r="B5" s="18" t="s">
        <v>534</v>
      </c>
      <c r="C5" s="52" t="s">
        <v>535</v>
      </c>
      <c r="D5" s="1028">
        <v>-93.9</v>
      </c>
      <c r="E5" s="1029"/>
      <c r="F5" s="1029">
        <v>0</v>
      </c>
      <c r="G5" s="1029"/>
      <c r="H5" s="1029">
        <v>-100</v>
      </c>
      <c r="I5" s="1025"/>
      <c r="J5" s="766"/>
      <c r="K5" s="766"/>
      <c r="L5" s="1024"/>
    </row>
    <row r="6" spans="2:17" x14ac:dyDescent="0.2">
      <c r="B6" s="18" t="s">
        <v>801</v>
      </c>
      <c r="C6" s="52"/>
      <c r="D6" s="1028"/>
      <c r="E6" s="1029">
        <v>-62.49</v>
      </c>
      <c r="F6" s="1029">
        <v>0</v>
      </c>
      <c r="G6" s="1029"/>
      <c r="H6" s="1029"/>
      <c r="I6" s="1025"/>
      <c r="J6" s="766"/>
      <c r="K6" s="766"/>
      <c r="L6" s="1024"/>
      <c r="M6" s="1914">
        <v>45343</v>
      </c>
      <c r="N6" s="1915" t="s">
        <v>101</v>
      </c>
      <c r="O6" s="1915"/>
      <c r="P6" s="1915" t="s">
        <v>1169</v>
      </c>
      <c r="Q6" s="2013">
        <v>4</v>
      </c>
    </row>
    <row r="7" spans="2:17" x14ac:dyDescent="0.2">
      <c r="B7" s="18" t="s">
        <v>670</v>
      </c>
      <c r="C7" s="52"/>
      <c r="D7" s="1028">
        <v>-31.92</v>
      </c>
      <c r="E7" s="1029"/>
      <c r="F7" s="1029">
        <v>0</v>
      </c>
      <c r="G7" s="1029"/>
      <c r="H7" s="1029"/>
      <c r="I7" s="1025"/>
      <c r="J7" s="766"/>
      <c r="K7" s="766"/>
      <c r="L7" s="1024"/>
      <c r="M7" s="1916">
        <v>45433</v>
      </c>
      <c r="N7" s="1917" t="s">
        <v>758</v>
      </c>
      <c r="O7" s="1917"/>
      <c r="P7" s="1917" t="s">
        <v>1169</v>
      </c>
      <c r="Q7" s="2014">
        <v>4</v>
      </c>
    </row>
    <row r="8" spans="2:17" x14ac:dyDescent="0.2">
      <c r="B8" s="18" t="s">
        <v>930</v>
      </c>
      <c r="C8" s="52"/>
      <c r="D8" s="1028"/>
      <c r="E8" s="1029"/>
      <c r="F8" s="1029"/>
      <c r="G8" s="1029">
        <v>-6</v>
      </c>
      <c r="H8" s="1029"/>
      <c r="I8" s="1025">
        <v>3</v>
      </c>
      <c r="J8" s="766"/>
      <c r="K8" s="766">
        <v>23</v>
      </c>
      <c r="L8" s="1024"/>
      <c r="M8" s="1914">
        <v>45433</v>
      </c>
      <c r="N8" s="1915" t="s">
        <v>1170</v>
      </c>
      <c r="O8" s="1915"/>
      <c r="P8" s="1915" t="s">
        <v>1169</v>
      </c>
      <c r="Q8" s="2013">
        <v>4</v>
      </c>
    </row>
    <row r="9" spans="2:17" x14ac:dyDescent="0.2">
      <c r="B9" s="18" t="s">
        <v>671</v>
      </c>
      <c r="C9" s="52"/>
      <c r="D9" s="1028">
        <v>-37.700000000000003</v>
      </c>
      <c r="E9" s="1029"/>
      <c r="F9" s="1029">
        <v>0</v>
      </c>
      <c r="G9" s="1029"/>
      <c r="H9" s="1029"/>
      <c r="I9" s="1025"/>
      <c r="J9" s="766"/>
      <c r="K9" s="766"/>
      <c r="L9" s="1024"/>
      <c r="M9" s="1916">
        <v>45433</v>
      </c>
      <c r="N9" s="1917" t="s">
        <v>1170</v>
      </c>
      <c r="O9" s="1917"/>
      <c r="P9" s="1917" t="s">
        <v>1171</v>
      </c>
      <c r="Q9" s="2014">
        <v>7</v>
      </c>
    </row>
    <row r="10" spans="2:17" x14ac:dyDescent="0.2">
      <c r="B10" s="1021" t="s">
        <v>1176</v>
      </c>
      <c r="C10" s="132"/>
      <c r="D10" s="1023"/>
      <c r="E10" s="1024"/>
      <c r="F10" s="1024"/>
      <c r="G10" s="1024"/>
      <c r="H10" s="1024"/>
      <c r="I10" s="1025"/>
      <c r="J10" s="766"/>
      <c r="K10" s="766">
        <v>14</v>
      </c>
      <c r="L10" s="1024"/>
      <c r="M10" s="1914">
        <v>45433</v>
      </c>
      <c r="N10" s="1915" t="s">
        <v>1170</v>
      </c>
      <c r="O10" s="1915"/>
      <c r="P10" s="1915" t="s">
        <v>1172</v>
      </c>
      <c r="Q10" s="2013">
        <v>7</v>
      </c>
    </row>
    <row r="11" spans="2:17" x14ac:dyDescent="0.2">
      <c r="B11" s="1021" t="s">
        <v>1177</v>
      </c>
      <c r="C11" s="309"/>
      <c r="D11" s="1023"/>
      <c r="E11" s="1024"/>
      <c r="F11" s="1024"/>
      <c r="G11" s="1024"/>
      <c r="H11" s="1024"/>
      <c r="I11" s="1025"/>
      <c r="J11" s="766"/>
      <c r="K11" s="766">
        <v>5</v>
      </c>
      <c r="L11" s="1024"/>
      <c r="M11" s="1916">
        <v>45495</v>
      </c>
      <c r="N11" s="1917" t="s">
        <v>102</v>
      </c>
      <c r="O11" s="1917"/>
      <c r="P11" s="1917" t="s">
        <v>1173</v>
      </c>
      <c r="Q11" s="2014">
        <v>3</v>
      </c>
    </row>
    <row r="12" spans="2:17" x14ac:dyDescent="0.2">
      <c r="B12" s="1021"/>
      <c r="C12" s="309"/>
      <c r="D12" s="1023"/>
      <c r="E12" s="1024"/>
      <c r="F12" s="1024"/>
      <c r="G12" s="1024"/>
      <c r="H12" s="1024"/>
      <c r="I12" s="1025"/>
      <c r="J12" s="766"/>
      <c r="K12" s="766"/>
      <c r="L12" s="1024"/>
      <c r="M12" s="1914">
        <v>45495</v>
      </c>
      <c r="N12" s="1915" t="s">
        <v>1170</v>
      </c>
      <c r="O12" s="1915"/>
      <c r="P12" s="1915" t="s">
        <v>1174</v>
      </c>
      <c r="Q12" s="2013">
        <v>4</v>
      </c>
    </row>
    <row r="13" spans="2:17" x14ac:dyDescent="0.2">
      <c r="B13" s="1021"/>
      <c r="C13" s="1022"/>
      <c r="D13" s="1023"/>
      <c r="E13" s="1024"/>
      <c r="F13" s="1024"/>
      <c r="G13" s="1024"/>
      <c r="H13" s="1024"/>
      <c r="I13" s="1025"/>
      <c r="J13" s="766"/>
      <c r="K13" s="766"/>
      <c r="L13" s="1024"/>
      <c r="M13" s="1916">
        <v>45526</v>
      </c>
      <c r="N13" s="1917" t="s">
        <v>101</v>
      </c>
      <c r="O13" s="1917"/>
      <c r="P13" s="1917" t="s">
        <v>1174</v>
      </c>
      <c r="Q13" s="2014">
        <v>4</v>
      </c>
    </row>
    <row r="14" spans="2:17" x14ac:dyDescent="0.2">
      <c r="B14" s="1021"/>
      <c r="C14" s="1022"/>
      <c r="D14" s="1023"/>
      <c r="E14" s="1024"/>
      <c r="F14" s="1024"/>
      <c r="G14" s="1024"/>
      <c r="H14" s="1024"/>
      <c r="I14" s="1023"/>
      <c r="J14" s="766"/>
      <c r="K14" s="766"/>
      <c r="L14" s="1024"/>
      <c r="M14" s="1914">
        <v>45535</v>
      </c>
      <c r="N14" s="1915" t="s">
        <v>661</v>
      </c>
      <c r="O14" s="1915"/>
      <c r="P14" s="1915" t="s">
        <v>1175</v>
      </c>
      <c r="Q14" s="2015">
        <v>5</v>
      </c>
    </row>
    <row r="15" spans="2:17" ht="16" thickBot="1" x14ac:dyDescent="0.25">
      <c r="B15" s="1021"/>
      <c r="C15" s="1022"/>
      <c r="D15" s="1023"/>
      <c r="E15" s="1024"/>
      <c r="F15" s="1024"/>
      <c r="G15" s="1024"/>
      <c r="H15" s="1024"/>
      <c r="I15" s="1026"/>
      <c r="J15" s="766"/>
      <c r="K15" s="766"/>
      <c r="L15" s="1024"/>
      <c r="Q15" s="2016">
        <f>SUM(Q6:Q14)</f>
        <v>42</v>
      </c>
    </row>
    <row r="16" spans="2:17" ht="16" thickTop="1" x14ac:dyDescent="0.2">
      <c r="B16" s="1021"/>
      <c r="C16" s="1022"/>
      <c r="D16" s="1023"/>
      <c r="E16" s="1024"/>
      <c r="F16" s="1024"/>
      <c r="G16" s="1024"/>
      <c r="H16" s="1024"/>
      <c r="I16" s="1023"/>
      <c r="J16" s="766">
        <v>-72</v>
      </c>
      <c r="K16" s="766"/>
      <c r="L16" s="1638">
        <v>-100</v>
      </c>
    </row>
    <row r="17" spans="2:12" ht="16" thickBot="1" x14ac:dyDescent="0.25">
      <c r="B17" s="286"/>
      <c r="C17" s="25"/>
      <c r="D17" s="1030">
        <f>SUM(D5:D16)</f>
        <v>-163.52000000000001</v>
      </c>
      <c r="E17" s="1030">
        <f t="shared" ref="E17:K17" si="0">SUM(E5:E16)</f>
        <v>-62.49</v>
      </c>
      <c r="F17" s="1030">
        <f t="shared" si="0"/>
        <v>0</v>
      </c>
      <c r="G17" s="1030">
        <f t="shared" si="0"/>
        <v>-6</v>
      </c>
      <c r="H17" s="1030">
        <f t="shared" si="0"/>
        <v>-100</v>
      </c>
      <c r="I17" s="1536">
        <f t="shared" si="0"/>
        <v>3</v>
      </c>
      <c r="J17" s="816">
        <f t="shared" si="0"/>
        <v>-72</v>
      </c>
      <c r="K17" s="816">
        <f t="shared" si="0"/>
        <v>42</v>
      </c>
      <c r="L17" s="1027">
        <f>SUM(L5:L16)</f>
        <v>-100</v>
      </c>
    </row>
    <row r="18" spans="2:12" ht="16" thickTop="1" x14ac:dyDescent="0.2"/>
  </sheetData>
  <mergeCells count="4">
    <mergeCell ref="B1:L1"/>
    <mergeCell ref="B2:L2"/>
    <mergeCell ref="D4:G4"/>
    <mergeCell ref="I3:K3"/>
  </mergeCells>
  <conditionalFormatting sqref="B1 J5:K17">
    <cfRule type="cellIs" dxfId="104" priority="8" operator="equal">
      <formula>0</formula>
    </cfRule>
  </conditionalFormatting>
  <conditionalFormatting sqref="I5:I13">
    <cfRule type="cellIs" dxfId="103" priority="7" operator="lessThan">
      <formula>0</formula>
    </cfRule>
  </conditionalFormatting>
  <hyperlinks>
    <hyperlink ref="B1" location="Summary!A1" display="Summary!A1" xr:uid="{B10DB5F6-AE6A-4E40-A91B-8A9CCF80A1F3}"/>
    <hyperlink ref="L17" location="Summary!T27" display="Summary!T27" xr:uid="{FD5B9F00-61B0-4BAD-A902-83D3687E9F6D}"/>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FF00"/>
    <pageSetUpPr fitToPage="1"/>
  </sheetPr>
  <dimension ref="A1:T20"/>
  <sheetViews>
    <sheetView zoomScaleNormal="100" zoomScaleSheetLayoutView="100" workbookViewId="0">
      <pane xSplit="3" ySplit="5" topLeftCell="P6" activePane="bottomRight" state="frozen"/>
      <selection activeCell="L17" sqref="L17"/>
      <selection pane="topRight" activeCell="L17" sqref="L17"/>
      <selection pane="bottomLeft" activeCell="L17" sqref="L17"/>
      <selection pane="bottomRight" activeCell="L17" sqref="L17"/>
    </sheetView>
  </sheetViews>
  <sheetFormatPr baseColWidth="10" defaultColWidth="8.83203125" defaultRowHeight="15" x14ac:dyDescent="0.2"/>
  <cols>
    <col min="1" max="1" width="2.5" style="1345" customWidth="1"/>
    <col min="2" max="2" width="15.6640625" style="1345" bestFit="1" customWidth="1"/>
    <col min="3" max="3" width="31.6640625" style="2" bestFit="1" customWidth="1"/>
    <col min="4" max="4" width="8.83203125" style="1345" hidden="1" customWidth="1"/>
    <col min="5" max="12" width="8.1640625" style="1345" hidden="1" customWidth="1"/>
    <col min="13" max="14" width="8.1640625" style="1345" bestFit="1" customWidth="1"/>
    <col min="15" max="15" width="8.1640625" style="1345" customWidth="1"/>
    <col min="16" max="16" width="8.1640625" style="1345" bestFit="1" customWidth="1"/>
    <col min="17" max="17" width="8.83203125" style="1345"/>
    <col min="18" max="18" width="11.6640625" style="1345" bestFit="1" customWidth="1"/>
    <col min="19" max="19" width="24.33203125" style="1345" bestFit="1" customWidth="1"/>
    <col min="20" max="20" width="12.33203125" style="1345" bestFit="1" customWidth="1"/>
    <col min="21" max="16384" width="8.83203125" style="1345"/>
  </cols>
  <sheetData>
    <row r="1" spans="1:20" s="2019" customFormat="1" ht="24" x14ac:dyDescent="0.2">
      <c r="A1" s="2018"/>
      <c r="B1" s="2289" t="s">
        <v>725</v>
      </c>
      <c r="C1" s="2289"/>
      <c r="D1" s="2289"/>
      <c r="E1" s="2289"/>
      <c r="F1" s="2289"/>
      <c r="G1" s="2289"/>
      <c r="H1" s="2289"/>
      <c r="I1" s="2289"/>
      <c r="J1" s="2289"/>
      <c r="K1" s="2289"/>
      <c r="L1" s="2289"/>
      <c r="M1" s="2289"/>
      <c r="N1" s="2289"/>
      <c r="O1" s="2289"/>
      <c r="P1" s="2289"/>
      <c r="S1" s="1683"/>
    </row>
    <row r="2" spans="1:20" x14ac:dyDescent="0.2">
      <c r="B2" s="2244" t="s">
        <v>20</v>
      </c>
      <c r="C2" s="2245"/>
      <c r="D2" s="2245"/>
      <c r="E2" s="2245"/>
      <c r="F2" s="2245"/>
      <c r="G2" s="2245"/>
      <c r="H2" s="2245"/>
      <c r="I2" s="2245"/>
      <c r="J2" s="2245"/>
      <c r="K2" s="2245"/>
      <c r="L2" s="2245"/>
      <c r="M2" s="2245"/>
      <c r="N2" s="2245"/>
      <c r="O2" s="2245"/>
      <c r="P2" s="2421"/>
    </row>
    <row r="3" spans="1:20" ht="16" x14ac:dyDescent="0.2">
      <c r="B3" s="69" t="s">
        <v>163</v>
      </c>
      <c r="C3" s="52" t="s">
        <v>160</v>
      </c>
      <c r="D3" s="293" t="s">
        <v>182</v>
      </c>
      <c r="E3" s="293"/>
      <c r="F3" s="293"/>
      <c r="G3" s="293"/>
      <c r="H3" s="293"/>
      <c r="I3" s="293"/>
      <c r="J3" s="293"/>
      <c r="K3" s="293"/>
      <c r="L3" s="293"/>
      <c r="M3" s="293"/>
      <c r="N3" s="293"/>
      <c r="O3" s="293"/>
      <c r="P3" s="293"/>
    </row>
    <row r="4" spans="1:20" ht="32" x14ac:dyDescent="0.2">
      <c r="B4" s="69"/>
      <c r="C4" s="52"/>
      <c r="D4" s="350">
        <v>2014</v>
      </c>
      <c r="E4" s="349">
        <v>2015</v>
      </c>
      <c r="F4" s="349">
        <v>2016</v>
      </c>
      <c r="G4" s="349" t="s">
        <v>157</v>
      </c>
      <c r="H4" s="349">
        <v>2017</v>
      </c>
      <c r="I4" s="349">
        <v>2018</v>
      </c>
      <c r="J4" s="349">
        <v>2019</v>
      </c>
      <c r="K4" s="349">
        <v>2020</v>
      </c>
      <c r="L4" s="349">
        <v>2021</v>
      </c>
      <c r="M4" s="1640" t="s">
        <v>481</v>
      </c>
      <c r="N4" s="1640"/>
      <c r="O4" s="1640"/>
      <c r="P4" s="1475" t="s">
        <v>519</v>
      </c>
    </row>
    <row r="5" spans="1:20" ht="16" x14ac:dyDescent="0.2">
      <c r="B5" s="69"/>
      <c r="C5" s="52"/>
      <c r="D5" s="1274" t="s">
        <v>520</v>
      </c>
      <c r="E5" s="1274"/>
      <c r="F5" s="1274"/>
      <c r="G5" s="1274"/>
      <c r="H5" s="1274"/>
      <c r="I5" s="1274"/>
      <c r="J5" s="1274"/>
      <c r="K5" s="1274"/>
      <c r="L5" s="1274"/>
      <c r="M5" s="349">
        <v>2022</v>
      </c>
      <c r="N5" s="349">
        <v>2023</v>
      </c>
      <c r="O5" s="349">
        <v>2024</v>
      </c>
      <c r="P5" s="349">
        <v>2025</v>
      </c>
    </row>
    <row r="6" spans="1:20" ht="16" x14ac:dyDescent="0.2">
      <c r="B6" s="31" t="s">
        <v>183</v>
      </c>
      <c r="C6" s="73" t="s">
        <v>184</v>
      </c>
      <c r="D6" s="293">
        <v>-211.86</v>
      </c>
      <c r="E6" s="293">
        <v>-249.82</v>
      </c>
      <c r="F6" s="922">
        <v>-252.34</v>
      </c>
      <c r="G6" s="922">
        <v>-250</v>
      </c>
      <c r="H6" s="922">
        <v>-301.22000000000003</v>
      </c>
      <c r="I6" s="922">
        <v>-142.34</v>
      </c>
      <c r="J6" s="922">
        <v>-181.15</v>
      </c>
      <c r="K6" s="922"/>
      <c r="L6" s="922">
        <v>-186</v>
      </c>
      <c r="M6" s="922">
        <v>-183.67</v>
      </c>
      <c r="N6" s="1260"/>
      <c r="O6" s="1639"/>
      <c r="P6" s="1260" t="s">
        <v>1111</v>
      </c>
    </row>
    <row r="7" spans="1:20" x14ac:dyDescent="0.2">
      <c r="B7" s="31"/>
      <c r="C7" s="330" t="s">
        <v>874</v>
      </c>
      <c r="D7" s="293"/>
      <c r="E7" s="293"/>
      <c r="F7" s="922"/>
      <c r="G7" s="922"/>
      <c r="H7" s="922"/>
      <c r="I7" s="922"/>
      <c r="J7" s="922"/>
      <c r="K7" s="922">
        <v>-29</v>
      </c>
      <c r="L7" s="922">
        <v>-18</v>
      </c>
      <c r="M7" s="922">
        <v>-12</v>
      </c>
      <c r="N7" s="1260"/>
      <c r="O7" s="1639"/>
      <c r="P7" s="1260"/>
      <c r="R7" s="2020" t="s">
        <v>163</v>
      </c>
      <c r="S7" s="2020" t="s">
        <v>160</v>
      </c>
      <c r="T7" s="2020" t="s">
        <v>1061</v>
      </c>
    </row>
    <row r="8" spans="1:20" x14ac:dyDescent="0.2">
      <c r="B8" s="473" t="s">
        <v>802</v>
      </c>
      <c r="C8" s="73" t="s">
        <v>804</v>
      </c>
      <c r="D8" s="293"/>
      <c r="E8" s="293"/>
      <c r="F8" s="922"/>
      <c r="G8" s="922"/>
      <c r="H8" s="922"/>
      <c r="I8" s="922"/>
      <c r="J8" s="922">
        <v>-410.33</v>
      </c>
      <c r="K8" s="922"/>
      <c r="L8" s="922"/>
      <c r="M8" s="922"/>
      <c r="N8" s="1260"/>
      <c r="O8" s="1639"/>
      <c r="P8" s="1260"/>
      <c r="R8" s="1311" t="s">
        <v>126</v>
      </c>
      <c r="S8" s="1311" t="s">
        <v>1178</v>
      </c>
      <c r="T8" s="2021">
        <v>-225.27</v>
      </c>
    </row>
    <row r="9" spans="1:20" ht="16" x14ac:dyDescent="0.2">
      <c r="B9" s="31" t="s">
        <v>148</v>
      </c>
      <c r="C9" s="73" t="s">
        <v>185</v>
      </c>
      <c r="D9" s="31"/>
      <c r="E9" s="31"/>
      <c r="F9" s="922">
        <v>-8</v>
      </c>
      <c r="G9" s="922"/>
      <c r="H9" s="922"/>
      <c r="I9" s="922"/>
      <c r="J9" s="922"/>
      <c r="K9" s="922"/>
      <c r="L9" s="922"/>
      <c r="M9" s="922"/>
      <c r="N9" s="1260"/>
      <c r="O9" s="1639"/>
      <c r="P9" s="1260"/>
      <c r="R9" s="1021" t="s">
        <v>110</v>
      </c>
      <c r="S9" s="1021" t="s">
        <v>1179</v>
      </c>
      <c r="T9" s="2022">
        <v>-24</v>
      </c>
    </row>
    <row r="10" spans="1:20" ht="17" thickBot="1" x14ac:dyDescent="0.25">
      <c r="B10" s="31" t="s">
        <v>186</v>
      </c>
      <c r="C10" s="73" t="s">
        <v>803</v>
      </c>
      <c r="D10" s="31"/>
      <c r="E10" s="31"/>
      <c r="F10" s="922">
        <v>-8</v>
      </c>
      <c r="G10" s="922"/>
      <c r="H10" s="922"/>
      <c r="I10" s="922"/>
      <c r="J10" s="922"/>
      <c r="K10" s="922"/>
      <c r="L10" s="922"/>
      <c r="M10" s="922"/>
      <c r="N10" s="1260"/>
      <c r="O10" s="1639"/>
      <c r="P10" s="1260"/>
      <c r="R10" s="2023"/>
      <c r="S10" s="2024"/>
      <c r="T10" s="2025">
        <f>SUM(T8:T9)</f>
        <v>-249.27</v>
      </c>
    </row>
    <row r="11" spans="1:20" ht="17" thickTop="1" x14ac:dyDescent="0.2">
      <c r="B11" s="31" t="s">
        <v>186</v>
      </c>
      <c r="C11" s="73" t="s">
        <v>187</v>
      </c>
      <c r="D11" s="31"/>
      <c r="E11" s="31"/>
      <c r="F11" s="922">
        <v>-8</v>
      </c>
      <c r="G11" s="922"/>
      <c r="H11" s="922"/>
      <c r="I11" s="922"/>
      <c r="J11" s="922"/>
      <c r="K11" s="922"/>
      <c r="L11" s="922"/>
      <c r="M11" s="922"/>
      <c r="N11" s="1260"/>
      <c r="O11" s="1639"/>
      <c r="P11" s="1260"/>
      <c r="R11" s="2026"/>
      <c r="S11" s="2027"/>
    </row>
    <row r="12" spans="1:20" x14ac:dyDescent="0.2">
      <c r="B12" s="31"/>
      <c r="C12" s="73" t="s">
        <v>555</v>
      </c>
      <c r="D12" s="31"/>
      <c r="E12" s="31"/>
      <c r="F12" s="922"/>
      <c r="G12" s="922"/>
      <c r="H12" s="922">
        <v>-27.94</v>
      </c>
      <c r="I12" s="922"/>
      <c r="J12" s="922"/>
      <c r="K12" s="922"/>
      <c r="L12" s="922"/>
      <c r="M12" s="922"/>
      <c r="N12" s="1260"/>
      <c r="O12" s="1639"/>
      <c r="P12" s="1260"/>
      <c r="S12" s="2028"/>
    </row>
    <row r="13" spans="1:20" x14ac:dyDescent="0.2">
      <c r="B13" s="31"/>
      <c r="C13" s="73" t="s">
        <v>306</v>
      </c>
      <c r="D13" s="31"/>
      <c r="E13" s="31"/>
      <c r="F13" s="922"/>
      <c r="G13" s="922">
        <v>-100</v>
      </c>
      <c r="H13" s="922"/>
      <c r="I13" s="922"/>
      <c r="J13" s="922"/>
      <c r="K13" s="922"/>
      <c r="L13" s="922"/>
      <c r="M13" s="922"/>
      <c r="N13" s="1260"/>
      <c r="O13" s="1639"/>
      <c r="P13" s="1260"/>
    </row>
    <row r="14" spans="1:20" x14ac:dyDescent="0.2">
      <c r="B14" s="31"/>
      <c r="C14" s="73"/>
      <c r="D14" s="31"/>
      <c r="E14" s="31"/>
      <c r="F14" s="922"/>
      <c r="G14" s="922"/>
      <c r="H14" s="922"/>
      <c r="I14" s="922"/>
      <c r="J14" s="922"/>
      <c r="K14" s="922"/>
      <c r="L14" s="922"/>
      <c r="M14" s="922"/>
      <c r="N14" s="1260"/>
      <c r="O14" s="1639"/>
      <c r="P14" s="1260"/>
    </row>
    <row r="15" spans="1:20" x14ac:dyDescent="0.2">
      <c r="B15" s="31"/>
      <c r="C15" s="73"/>
      <c r="D15" s="31"/>
      <c r="E15" s="31"/>
      <c r="F15" s="922"/>
      <c r="G15" s="922"/>
      <c r="H15" s="922"/>
      <c r="I15" s="922"/>
      <c r="J15" s="922"/>
      <c r="K15" s="922"/>
      <c r="L15" s="922"/>
      <c r="M15" s="922"/>
      <c r="N15" s="1260"/>
      <c r="O15" s="1639"/>
      <c r="P15" s="1260"/>
    </row>
    <row r="16" spans="1:20" x14ac:dyDescent="0.2">
      <c r="B16" s="31"/>
      <c r="C16" s="73"/>
      <c r="D16" s="31"/>
      <c r="E16" s="31"/>
      <c r="F16" s="922"/>
      <c r="G16" s="922"/>
      <c r="H16" s="922"/>
      <c r="I16" s="922"/>
      <c r="J16" s="922"/>
      <c r="K16" s="922"/>
      <c r="L16" s="922"/>
      <c r="M16" s="922"/>
      <c r="N16" s="1260"/>
      <c r="O16" s="1639"/>
      <c r="P16" s="1260"/>
    </row>
    <row r="17" spans="2:16" x14ac:dyDescent="0.2">
      <c r="B17" s="31"/>
      <c r="C17" s="73"/>
      <c r="D17" s="31"/>
      <c r="E17" s="31"/>
      <c r="F17" s="922"/>
      <c r="G17" s="922"/>
      <c r="H17" s="922"/>
      <c r="I17" s="922"/>
      <c r="J17" s="922"/>
      <c r="K17" s="922"/>
      <c r="L17" s="922"/>
      <c r="M17" s="922"/>
      <c r="N17" s="1260"/>
      <c r="O17" s="1639"/>
      <c r="P17" s="1260"/>
    </row>
    <row r="18" spans="2:16" x14ac:dyDescent="0.2">
      <c r="B18" s="31"/>
      <c r="C18" s="1641" t="s">
        <v>1081</v>
      </c>
      <c r="D18" s="31"/>
      <c r="E18" s="31"/>
      <c r="F18" s="922"/>
      <c r="G18" s="922"/>
      <c r="H18" s="922"/>
      <c r="I18" s="922"/>
      <c r="J18" s="922"/>
      <c r="K18" s="922"/>
      <c r="L18" s="922"/>
      <c r="M18" s="922"/>
      <c r="N18" s="1260">
        <v>-304</v>
      </c>
      <c r="O18" s="1639">
        <v>-249</v>
      </c>
      <c r="P18" s="1261">
        <v>-250</v>
      </c>
    </row>
    <row r="19" spans="2:16" ht="16" thickBot="1" x14ac:dyDescent="0.25">
      <c r="B19" s="32"/>
      <c r="C19" s="24"/>
      <c r="D19" s="294">
        <f t="shared" ref="D19:E19" si="0">SUM(D6:D13)</f>
        <v>-211.86</v>
      </c>
      <c r="E19" s="294">
        <f t="shared" si="0"/>
        <v>-249.82</v>
      </c>
      <c r="F19" s="923">
        <f t="shared" ref="F19:H19" si="1">SUM(F6:F13)</f>
        <v>-276.34000000000003</v>
      </c>
      <c r="G19" s="923">
        <f t="shared" si="1"/>
        <v>-350</v>
      </c>
      <c r="H19" s="923">
        <f t="shared" si="1"/>
        <v>-329.16</v>
      </c>
      <c r="I19" s="924">
        <f>SUM(I6:I18)</f>
        <v>-142.34</v>
      </c>
      <c r="J19" s="924">
        <f t="shared" ref="J19:O19" si="2">SUM(J6:J18)</f>
        <v>-591.48</v>
      </c>
      <c r="K19" s="924">
        <f t="shared" si="2"/>
        <v>-29</v>
      </c>
      <c r="L19" s="924">
        <f t="shared" si="2"/>
        <v>-204</v>
      </c>
      <c r="M19" s="924">
        <f t="shared" si="2"/>
        <v>-195.67</v>
      </c>
      <c r="N19" s="1076">
        <f>SUM(N7:N18)</f>
        <v>-304</v>
      </c>
      <c r="O19" s="1076">
        <f t="shared" si="2"/>
        <v>-249</v>
      </c>
      <c r="P19" s="970">
        <f>SUM(P6:P18)</f>
        <v>-250</v>
      </c>
    </row>
    <row r="20" spans="2:16" ht="16" thickTop="1" x14ac:dyDescent="0.2"/>
  </sheetData>
  <mergeCells count="2">
    <mergeCell ref="B2:P2"/>
    <mergeCell ref="B1:P1"/>
  </mergeCells>
  <conditionalFormatting sqref="A1:B1">
    <cfRule type="cellIs" dxfId="102" priority="2" operator="equal">
      <formula>0</formula>
    </cfRule>
  </conditionalFormatting>
  <hyperlinks>
    <hyperlink ref="B1" location="Summary!A1" display="Summary!A1" xr:uid="{0FE19E8E-58B5-4413-8F68-3E2F0420375F}"/>
    <hyperlink ref="P19" location="Summary!T28" display="Summary!T28" xr:uid="{921BAA45-2F20-44A1-B928-C954C40CE8F8}"/>
  </hyperlinks>
  <printOptions horizontalCentered="1"/>
  <pageMargins left="0.70866141732283472" right="0"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FF00"/>
    <pageSetUpPr fitToPage="1"/>
  </sheetPr>
  <dimension ref="A1:W26"/>
  <sheetViews>
    <sheetView zoomScaleNormal="100" zoomScaleSheetLayoutView="100" workbookViewId="0">
      <pane xSplit="9" ySplit="4" topLeftCell="J5" activePane="bottomRight" state="frozen"/>
      <selection activeCell="L17" sqref="L17"/>
      <selection pane="topRight" activeCell="L17" sqref="L17"/>
      <selection pane="bottomLeft" activeCell="L17" sqref="L17"/>
      <selection pane="bottomRight" activeCell="L17" sqref="L17"/>
    </sheetView>
  </sheetViews>
  <sheetFormatPr baseColWidth="10" defaultColWidth="8.83203125" defaultRowHeight="15" x14ac:dyDescent="0.2"/>
  <cols>
    <col min="1" max="1" width="2" style="274" customWidth="1"/>
    <col min="2" max="2" width="17.1640625" style="2036" bestFit="1" customWidth="1"/>
    <col min="3" max="3" width="35.6640625" style="2030" customWidth="1"/>
    <col min="4" max="9" width="5.6640625" style="274" hidden="1" customWidth="1"/>
    <col min="10" max="10" width="9" style="274" hidden="1" customWidth="1"/>
    <col min="11" max="14" width="10.5" style="274" hidden="1" customWidth="1"/>
    <col min="15" max="16" width="10.83203125" style="274" bestFit="1" customWidth="1"/>
    <col min="17" max="17" width="10.83203125" style="274" customWidth="1"/>
    <col min="18" max="18" width="10.83203125" style="274" bestFit="1" customWidth="1"/>
    <col min="19" max="19" width="6.5" style="2030" customWidth="1"/>
    <col min="20" max="20" width="10.5" style="274" bestFit="1" customWidth="1"/>
    <col min="21" max="21" width="16.1640625" style="2030" customWidth="1"/>
    <col min="22" max="22" width="41.6640625" style="274" bestFit="1" customWidth="1"/>
    <col min="23" max="23" width="7.83203125" style="274" bestFit="1" customWidth="1"/>
    <col min="24" max="16384" width="8.83203125" style="274"/>
  </cols>
  <sheetData>
    <row r="1" spans="1:23" s="1682" customFormat="1" ht="18" customHeight="1" x14ac:dyDescent="0.2">
      <c r="A1" s="2018"/>
      <c r="B1" s="2289" t="s">
        <v>725</v>
      </c>
      <c r="C1" s="2289"/>
      <c r="D1" s="2289"/>
      <c r="E1" s="2289"/>
      <c r="F1" s="2289"/>
      <c r="G1" s="2289"/>
      <c r="H1" s="2289"/>
      <c r="I1" s="2289"/>
      <c r="J1" s="2289"/>
      <c r="K1" s="2289"/>
      <c r="L1" s="2289"/>
      <c r="M1" s="2289"/>
      <c r="N1" s="2289"/>
      <c r="O1" s="2289"/>
      <c r="P1" s="2289"/>
      <c r="Q1" s="2289"/>
      <c r="R1" s="2289"/>
      <c r="S1" s="1683"/>
      <c r="U1" s="2029"/>
    </row>
    <row r="2" spans="1:23" x14ac:dyDescent="0.2">
      <c r="B2" s="2430" t="s">
        <v>21</v>
      </c>
      <c r="C2" s="2431"/>
      <c r="D2" s="2431"/>
      <c r="E2" s="2431"/>
      <c r="F2" s="2431"/>
      <c r="G2" s="2431"/>
      <c r="H2" s="2431"/>
      <c r="I2" s="2431"/>
      <c r="J2" s="2431"/>
      <c r="K2" s="2431"/>
      <c r="L2" s="2431"/>
      <c r="M2" s="2431"/>
      <c r="N2" s="2431"/>
      <c r="O2" s="2431"/>
      <c r="P2" s="2431"/>
      <c r="Q2" s="2431"/>
      <c r="R2" s="2432"/>
      <c r="V2" s="2031"/>
      <c r="W2" s="2031"/>
    </row>
    <row r="3" spans="1:23" ht="16" x14ac:dyDescent="0.2">
      <c r="B3" s="102"/>
      <c r="C3" s="1265"/>
      <c r="D3" s="620"/>
      <c r="E3" s="620"/>
      <c r="F3" s="620"/>
      <c r="G3" s="620"/>
      <c r="H3" s="620"/>
      <c r="I3" s="620"/>
      <c r="J3" s="826">
        <v>2017</v>
      </c>
      <c r="K3" s="664">
        <v>2018</v>
      </c>
      <c r="L3" s="664">
        <v>2019</v>
      </c>
      <c r="M3" s="664">
        <v>2020</v>
      </c>
      <c r="N3" s="664">
        <v>2021</v>
      </c>
      <c r="O3" s="2433" t="s">
        <v>481</v>
      </c>
      <c r="P3" s="2434"/>
      <c r="Q3" s="2435"/>
      <c r="R3" s="1476" t="s">
        <v>519</v>
      </c>
      <c r="V3" s="2031"/>
      <c r="W3" s="2031"/>
    </row>
    <row r="4" spans="1:23" ht="16" x14ac:dyDescent="0.2">
      <c r="B4" s="1262" t="s">
        <v>532</v>
      </c>
      <c r="C4" s="315" t="s">
        <v>533</v>
      </c>
      <c r="D4" s="51"/>
      <c r="E4" s="51"/>
      <c r="F4" s="51"/>
      <c r="G4" s="51"/>
      <c r="H4" s="51"/>
      <c r="I4" s="51"/>
      <c r="J4" s="2422" t="s">
        <v>520</v>
      </c>
      <c r="K4" s="2423"/>
      <c r="L4" s="2423"/>
      <c r="M4" s="2423"/>
      <c r="N4" s="2424"/>
      <c r="O4" s="1169">
        <v>2022</v>
      </c>
      <c r="P4" s="664">
        <v>2023</v>
      </c>
      <c r="Q4" s="664">
        <v>2024</v>
      </c>
      <c r="R4" s="664">
        <v>2025</v>
      </c>
      <c r="V4" s="2031"/>
      <c r="W4" s="2031"/>
    </row>
    <row r="5" spans="1:23" ht="14.5" customHeight="1" x14ac:dyDescent="0.2">
      <c r="B5" s="477" t="s">
        <v>188</v>
      </c>
      <c r="C5" s="2429" t="s">
        <v>531</v>
      </c>
      <c r="D5" s="51"/>
      <c r="E5" s="51"/>
      <c r="F5" s="51"/>
      <c r="G5" s="51"/>
      <c r="H5" s="51"/>
      <c r="I5" s="51"/>
      <c r="J5" s="925">
        <v>16.5</v>
      </c>
      <c r="K5" s="925">
        <v>18</v>
      </c>
      <c r="L5" s="925">
        <v>18</v>
      </c>
      <c r="M5" s="2425" t="s">
        <v>932</v>
      </c>
      <c r="N5" s="2425" t="s">
        <v>931</v>
      </c>
      <c r="O5" s="925"/>
      <c r="P5" s="2426">
        <v>-65</v>
      </c>
      <c r="Q5" s="925"/>
      <c r="R5" s="323"/>
      <c r="T5" s="2006">
        <v>45443</v>
      </c>
      <c r="U5" s="2007" t="s">
        <v>1170</v>
      </c>
      <c r="V5" s="2007" t="s">
        <v>1180</v>
      </c>
      <c r="W5" s="2032">
        <v>12</v>
      </c>
    </row>
    <row r="6" spans="1:23" ht="16" x14ac:dyDescent="0.2">
      <c r="B6" s="1263" t="s">
        <v>189</v>
      </c>
      <c r="C6" s="2429"/>
      <c r="D6" s="51"/>
      <c r="E6" s="51"/>
      <c r="F6" s="51"/>
      <c r="G6" s="51"/>
      <c r="H6" s="51"/>
      <c r="I6" s="51"/>
      <c r="J6" s="927">
        <v>18</v>
      </c>
      <c r="K6" s="925">
        <v>18</v>
      </c>
      <c r="L6" s="925">
        <v>18</v>
      </c>
      <c r="M6" s="2425"/>
      <c r="N6" s="2425"/>
      <c r="O6" s="925"/>
      <c r="P6" s="2427"/>
      <c r="Q6" s="925"/>
      <c r="R6" s="323"/>
      <c r="T6" s="2004">
        <v>45488</v>
      </c>
      <c r="U6" s="1258" t="s">
        <v>1170</v>
      </c>
      <c r="V6" s="1258" t="s">
        <v>1181</v>
      </c>
      <c r="W6" s="2005">
        <v>-45</v>
      </c>
    </row>
    <row r="7" spans="1:23" ht="16" x14ac:dyDescent="0.2">
      <c r="B7" s="1263" t="s">
        <v>190</v>
      </c>
      <c r="C7" s="2429"/>
      <c r="D7" s="51"/>
      <c r="E7" s="51"/>
      <c r="F7" s="51"/>
      <c r="G7" s="51"/>
      <c r="H7" s="51"/>
      <c r="I7" s="51"/>
      <c r="J7" s="927">
        <v>21</v>
      </c>
      <c r="K7" s="925">
        <v>18.100000000000001</v>
      </c>
      <c r="L7" s="925" t="s">
        <v>672</v>
      </c>
      <c r="M7" s="2425"/>
      <c r="N7" s="2425"/>
      <c r="O7" s="925"/>
      <c r="P7" s="2427"/>
      <c r="Q7" s="925"/>
      <c r="R7" s="323"/>
      <c r="T7" s="2006">
        <v>45565</v>
      </c>
      <c r="U7" s="2007" t="s">
        <v>1170</v>
      </c>
      <c r="V7" s="2007" t="s">
        <v>1182</v>
      </c>
      <c r="W7" s="2032">
        <v>12</v>
      </c>
    </row>
    <row r="8" spans="1:23" ht="16" x14ac:dyDescent="0.2">
      <c r="B8" s="477" t="s">
        <v>191</v>
      </c>
      <c r="C8" s="2429"/>
      <c r="D8" s="51"/>
      <c r="E8" s="51"/>
      <c r="F8" s="51"/>
      <c r="G8" s="51"/>
      <c r="H8" s="51"/>
      <c r="I8" s="51"/>
      <c r="J8" s="927">
        <v>18</v>
      </c>
      <c r="K8" s="925">
        <v>18</v>
      </c>
      <c r="L8" s="925">
        <v>19.5</v>
      </c>
      <c r="M8" s="2425"/>
      <c r="N8" s="2425"/>
      <c r="O8" s="925"/>
      <c r="P8" s="2427"/>
      <c r="Q8" s="925"/>
      <c r="R8" s="323"/>
      <c r="S8" s="1915"/>
      <c r="T8" s="2004">
        <v>45591</v>
      </c>
      <c r="U8" s="1258" t="s">
        <v>1170</v>
      </c>
      <c r="V8" s="1258" t="s">
        <v>1183</v>
      </c>
      <c r="W8" s="2005">
        <v>-96</v>
      </c>
    </row>
    <row r="9" spans="1:23" ht="14.5" customHeight="1" x14ac:dyDescent="0.2">
      <c r="B9" s="1263" t="s">
        <v>192</v>
      </c>
      <c r="C9" s="2429"/>
      <c r="D9" s="51"/>
      <c r="E9" s="51"/>
      <c r="F9" s="51"/>
      <c r="G9" s="51"/>
      <c r="H9" s="51"/>
      <c r="I9" s="51"/>
      <c r="J9" s="927">
        <v>13.5</v>
      </c>
      <c r="K9" s="925">
        <v>18</v>
      </c>
      <c r="L9" s="925">
        <v>18</v>
      </c>
      <c r="M9" s="2425"/>
      <c r="N9" s="2425"/>
      <c r="O9" s="925"/>
      <c r="P9" s="2427"/>
      <c r="Q9" s="925"/>
      <c r="R9" s="323"/>
      <c r="S9" s="1917"/>
      <c r="T9" s="2006">
        <v>45597</v>
      </c>
      <c r="U9" s="2007" t="s">
        <v>530</v>
      </c>
      <c r="V9" s="2007" t="s">
        <v>1184</v>
      </c>
      <c r="W9" s="2008">
        <v>-29</v>
      </c>
    </row>
    <row r="10" spans="1:23" ht="16" x14ac:dyDescent="0.2">
      <c r="B10" s="477" t="s">
        <v>1449</v>
      </c>
      <c r="C10" s="339" t="s">
        <v>938</v>
      </c>
      <c r="D10" s="51"/>
      <c r="E10" s="51"/>
      <c r="F10" s="51"/>
      <c r="G10" s="51"/>
      <c r="H10" s="51"/>
      <c r="I10" s="51"/>
      <c r="J10" s="2426">
        <v>-124</v>
      </c>
      <c r="K10" s="2426">
        <v>-124</v>
      </c>
      <c r="L10" s="925">
        <v>-20</v>
      </c>
      <c r="M10" s="2425"/>
      <c r="N10" s="2425"/>
      <c r="O10" s="925"/>
      <c r="P10" s="2427"/>
      <c r="Q10" s="925"/>
      <c r="R10" s="323"/>
      <c r="T10" s="2004">
        <v>45625</v>
      </c>
      <c r="U10" s="1258" t="s">
        <v>101</v>
      </c>
      <c r="V10" s="1258" t="s">
        <v>1185</v>
      </c>
      <c r="W10" s="2033">
        <v>12</v>
      </c>
    </row>
    <row r="11" spans="1:23" ht="16" x14ac:dyDescent="0.2">
      <c r="B11" s="477" t="s">
        <v>1449</v>
      </c>
      <c r="C11" s="339" t="s">
        <v>934</v>
      </c>
      <c r="D11" s="51"/>
      <c r="E11" s="51"/>
      <c r="F11" s="51"/>
      <c r="G11" s="51"/>
      <c r="H11" s="51"/>
      <c r="I11" s="51"/>
      <c r="J11" s="2427"/>
      <c r="K11" s="2427"/>
      <c r="L11" s="925">
        <v>-5</v>
      </c>
      <c r="M11" s="2425"/>
      <c r="N11" s="2425"/>
      <c r="O11" s="925">
        <v>-5</v>
      </c>
      <c r="P11" s="2427"/>
      <c r="Q11" s="925">
        <v>-5</v>
      </c>
      <c r="R11" s="323"/>
      <c r="T11" s="2006">
        <v>45625</v>
      </c>
      <c r="U11" s="2007" t="s">
        <v>77</v>
      </c>
      <c r="V11" s="2007" t="s">
        <v>1186</v>
      </c>
      <c r="W11" s="2008">
        <v>32</v>
      </c>
    </row>
    <row r="12" spans="1:23" ht="16" x14ac:dyDescent="0.2">
      <c r="A12" s="274">
        <v>1</v>
      </c>
      <c r="B12" s="477" t="s">
        <v>1449</v>
      </c>
      <c r="C12" s="339" t="s">
        <v>933</v>
      </c>
      <c r="D12" s="51"/>
      <c r="E12" s="51"/>
      <c r="F12" s="51"/>
      <c r="G12" s="51"/>
      <c r="H12" s="51"/>
      <c r="I12" s="51"/>
      <c r="J12" s="2427"/>
      <c r="K12" s="2427"/>
      <c r="L12" s="925">
        <v>-60</v>
      </c>
      <c r="M12" s="2425"/>
      <c r="N12" s="2425"/>
      <c r="O12" s="925">
        <v>-40</v>
      </c>
      <c r="P12" s="2427"/>
      <c r="Q12" s="925">
        <v>-40</v>
      </c>
      <c r="R12" s="323"/>
      <c r="T12" s="2004">
        <v>45625</v>
      </c>
      <c r="U12" s="1258" t="s">
        <v>101</v>
      </c>
      <c r="V12" s="1258" t="s">
        <v>1186</v>
      </c>
      <c r="W12" s="2005">
        <v>32</v>
      </c>
    </row>
    <row r="13" spans="1:23" ht="16" x14ac:dyDescent="0.2">
      <c r="B13" s="477" t="s">
        <v>1449</v>
      </c>
      <c r="C13" s="339" t="s">
        <v>935</v>
      </c>
      <c r="D13" s="51"/>
      <c r="E13" s="51"/>
      <c r="F13" s="51"/>
      <c r="G13" s="51"/>
      <c r="H13" s="51"/>
      <c r="I13" s="51"/>
      <c r="J13" s="2427"/>
      <c r="K13" s="2427"/>
      <c r="L13" s="925">
        <v>-20</v>
      </c>
      <c r="M13" s="2425"/>
      <c r="N13" s="2425"/>
      <c r="O13" s="925"/>
      <c r="P13" s="2427"/>
      <c r="Q13" s="925"/>
      <c r="R13" s="323"/>
      <c r="T13" s="2006">
        <v>45635</v>
      </c>
      <c r="U13" s="2007" t="s">
        <v>101</v>
      </c>
      <c r="V13" s="2007" t="s">
        <v>1187</v>
      </c>
      <c r="W13" s="2034">
        <v>32</v>
      </c>
    </row>
    <row r="14" spans="1:23" ht="17" thickBot="1" x14ac:dyDescent="0.25">
      <c r="B14" s="477" t="s">
        <v>1449</v>
      </c>
      <c r="C14" s="335" t="s">
        <v>936</v>
      </c>
      <c r="D14" s="51"/>
      <c r="E14" s="51"/>
      <c r="F14" s="51"/>
      <c r="G14" s="51"/>
      <c r="H14" s="51"/>
      <c r="I14" s="51"/>
      <c r="J14" s="2427"/>
      <c r="K14" s="2427"/>
      <c r="L14" s="925">
        <v>-14</v>
      </c>
      <c r="M14" s="2425"/>
      <c r="N14" s="2425"/>
      <c r="O14" s="925"/>
      <c r="P14" s="2427"/>
      <c r="Q14" s="925"/>
      <c r="R14" s="323"/>
      <c r="V14" s="2031"/>
      <c r="W14" s="2035">
        <f>SUM(W5:W13)</f>
        <v>-38</v>
      </c>
    </row>
    <row r="15" spans="1:23" ht="17" thickTop="1" x14ac:dyDescent="0.2">
      <c r="A15" s="274">
        <v>2</v>
      </c>
      <c r="B15" s="477" t="s">
        <v>1449</v>
      </c>
      <c r="C15" s="335" t="s">
        <v>937</v>
      </c>
      <c r="D15" s="51"/>
      <c r="E15" s="51"/>
      <c r="F15" s="51"/>
      <c r="G15" s="51"/>
      <c r="H15" s="51"/>
      <c r="I15" s="51"/>
      <c r="J15" s="2428"/>
      <c r="K15" s="2428"/>
      <c r="L15" s="925">
        <v>-46</v>
      </c>
      <c r="M15" s="2425"/>
      <c r="N15" s="2425"/>
      <c r="O15" s="928">
        <v>-34</v>
      </c>
      <c r="P15" s="2427"/>
      <c r="Q15" s="925">
        <v>-29</v>
      </c>
      <c r="R15" s="323"/>
      <c r="W15" s="1983"/>
    </row>
    <row r="16" spans="1:23" ht="16" x14ac:dyDescent="0.2">
      <c r="B16" s="477" t="s">
        <v>1449</v>
      </c>
      <c r="C16" s="339" t="s">
        <v>939</v>
      </c>
      <c r="D16" s="51"/>
      <c r="E16" s="51"/>
      <c r="F16" s="51"/>
      <c r="G16" s="51"/>
      <c r="H16" s="51"/>
      <c r="I16" s="51"/>
      <c r="J16" s="925">
        <v>-72</v>
      </c>
      <c r="K16" s="925">
        <v>-66</v>
      </c>
      <c r="L16" s="925"/>
      <c r="M16" s="2425"/>
      <c r="N16" s="2425"/>
      <c r="O16" s="925"/>
      <c r="P16" s="2427"/>
      <c r="Q16" s="925"/>
      <c r="R16" s="323"/>
    </row>
    <row r="17" spans="2:18" ht="16" x14ac:dyDescent="0.2">
      <c r="B17" s="477" t="s">
        <v>1449</v>
      </c>
      <c r="C17" s="477" t="s">
        <v>1188</v>
      </c>
      <c r="D17" s="51"/>
      <c r="E17" s="51"/>
      <c r="F17" s="51"/>
      <c r="G17" s="51"/>
      <c r="H17" s="51"/>
      <c r="I17" s="51"/>
      <c r="J17" s="925"/>
      <c r="K17" s="925"/>
      <c r="L17" s="925"/>
      <c r="M17" s="929"/>
      <c r="N17" s="929"/>
      <c r="O17" s="925"/>
      <c r="P17" s="2427"/>
      <c r="Q17" s="925">
        <f>-96+32</f>
        <v>-64</v>
      </c>
      <c r="R17" s="323"/>
    </row>
    <row r="18" spans="2:18" ht="16" x14ac:dyDescent="0.2">
      <c r="B18" s="477" t="s">
        <v>1191</v>
      </c>
      <c r="C18" s="477" t="s">
        <v>1192</v>
      </c>
      <c r="D18" s="51"/>
      <c r="E18" s="51"/>
      <c r="F18" s="51"/>
      <c r="G18" s="51"/>
      <c r="H18" s="51"/>
      <c r="I18" s="51"/>
      <c r="J18" s="925"/>
      <c r="K18" s="925"/>
      <c r="L18" s="925"/>
      <c r="M18" s="929"/>
      <c r="N18" s="929"/>
      <c r="O18" s="925"/>
      <c r="P18" s="2427"/>
      <c r="Q18" s="925">
        <v>64</v>
      </c>
      <c r="R18" s="323"/>
    </row>
    <row r="19" spans="2:18" ht="16" x14ac:dyDescent="0.2">
      <c r="B19" s="477" t="s">
        <v>191</v>
      </c>
      <c r="C19" s="339" t="s">
        <v>1189</v>
      </c>
      <c r="D19" s="51"/>
      <c r="E19" s="51"/>
      <c r="F19" s="51"/>
      <c r="G19" s="51"/>
      <c r="H19" s="51"/>
      <c r="I19" s="51"/>
      <c r="J19" s="925"/>
      <c r="K19" s="925"/>
      <c r="L19" s="925"/>
      <c r="M19" s="929"/>
      <c r="N19" s="929"/>
      <c r="O19" s="925"/>
      <c r="P19" s="2427"/>
      <c r="Q19" s="925">
        <v>12</v>
      </c>
      <c r="R19" s="323"/>
    </row>
    <row r="20" spans="2:18" ht="16" x14ac:dyDescent="0.2">
      <c r="B20" s="477" t="s">
        <v>191</v>
      </c>
      <c r="C20" s="339" t="s">
        <v>1190</v>
      </c>
      <c r="D20" s="51"/>
      <c r="E20" s="51"/>
      <c r="F20" s="51"/>
      <c r="G20" s="51"/>
      <c r="H20" s="51"/>
      <c r="I20" s="51"/>
      <c r="J20" s="925"/>
      <c r="K20" s="925"/>
      <c r="L20" s="925"/>
      <c r="M20" s="929"/>
      <c r="N20" s="929"/>
      <c r="O20" s="925"/>
      <c r="P20" s="2427"/>
      <c r="Q20" s="925">
        <v>12</v>
      </c>
      <c r="R20" s="323"/>
    </row>
    <row r="21" spans="2:18" ht="16" x14ac:dyDescent="0.2">
      <c r="B21" s="1263" t="s">
        <v>192</v>
      </c>
      <c r="C21" s="339" t="s">
        <v>1190</v>
      </c>
      <c r="D21" s="51"/>
      <c r="E21" s="51"/>
      <c r="F21" s="51"/>
      <c r="G21" s="51"/>
      <c r="H21" s="51"/>
      <c r="I21" s="51"/>
      <c r="J21" s="925"/>
      <c r="K21" s="925"/>
      <c r="L21" s="925"/>
      <c r="M21" s="929"/>
      <c r="N21" s="929"/>
      <c r="O21" s="925"/>
      <c r="P21" s="2427"/>
      <c r="Q21" s="925">
        <v>12</v>
      </c>
      <c r="R21" s="323"/>
    </row>
    <row r="22" spans="2:18" x14ac:dyDescent="0.2">
      <c r="B22" s="477"/>
      <c r="C22" s="339"/>
      <c r="D22" s="51"/>
      <c r="E22" s="51"/>
      <c r="F22" s="51"/>
      <c r="G22" s="51"/>
      <c r="H22" s="51"/>
      <c r="I22" s="51"/>
      <c r="J22" s="925"/>
      <c r="K22" s="925"/>
      <c r="L22" s="925"/>
      <c r="M22" s="929"/>
      <c r="N22" s="929"/>
      <c r="O22" s="925"/>
      <c r="P22" s="2427"/>
      <c r="Q22" s="925"/>
      <c r="R22" s="323"/>
    </row>
    <row r="23" spans="2:18" x14ac:dyDescent="0.2">
      <c r="B23" s="477"/>
      <c r="C23" s="339"/>
      <c r="D23" s="51"/>
      <c r="E23" s="51"/>
      <c r="F23" s="51"/>
      <c r="G23" s="51"/>
      <c r="H23" s="51"/>
      <c r="I23" s="51"/>
      <c r="J23" s="925"/>
      <c r="K23" s="925"/>
      <c r="L23" s="925"/>
      <c r="M23" s="929"/>
      <c r="N23" s="929"/>
      <c r="O23" s="925"/>
      <c r="P23" s="2427"/>
      <c r="Q23" s="925"/>
      <c r="R23" s="323"/>
    </row>
    <row r="24" spans="2:18" x14ac:dyDescent="0.2">
      <c r="B24" s="477"/>
      <c r="C24" s="339"/>
      <c r="D24" s="51"/>
      <c r="E24" s="51"/>
      <c r="F24" s="51"/>
      <c r="G24" s="51"/>
      <c r="H24" s="51"/>
      <c r="I24" s="51"/>
      <c r="J24" s="930"/>
      <c r="K24" s="930"/>
      <c r="L24" s="930"/>
      <c r="M24" s="926"/>
      <c r="N24" s="926"/>
      <c r="O24" s="930"/>
      <c r="P24" s="2428"/>
      <c r="Q24" s="925"/>
      <c r="R24" s="990">
        <v>-70</v>
      </c>
    </row>
    <row r="25" spans="2:18" ht="16" thickBot="1" x14ac:dyDescent="0.25">
      <c r="B25" s="1264"/>
      <c r="C25" s="1266"/>
      <c r="D25" s="61"/>
      <c r="E25" s="61"/>
      <c r="F25" s="61"/>
      <c r="G25" s="61"/>
      <c r="H25" s="61"/>
      <c r="I25" s="61"/>
      <c r="J25" s="931">
        <f t="shared" ref="J25:R25" si="0">SUM(J5:J24)</f>
        <v>-109</v>
      </c>
      <c r="K25" s="931">
        <f t="shared" si="0"/>
        <v>-99.9</v>
      </c>
      <c r="L25" s="931">
        <f t="shared" si="0"/>
        <v>-91.5</v>
      </c>
      <c r="M25" s="931">
        <f t="shared" si="0"/>
        <v>0</v>
      </c>
      <c r="N25" s="931">
        <f t="shared" si="0"/>
        <v>0</v>
      </c>
      <c r="O25" s="931">
        <f t="shared" si="0"/>
        <v>-79</v>
      </c>
      <c r="P25" s="1077">
        <f t="shared" si="0"/>
        <v>-65</v>
      </c>
      <c r="Q25" s="1077">
        <f t="shared" si="0"/>
        <v>-38</v>
      </c>
      <c r="R25" s="971">
        <f t="shared" si="0"/>
        <v>-70</v>
      </c>
    </row>
    <row r="26" spans="2:18" ht="16" thickTop="1" x14ac:dyDescent="0.2"/>
  </sheetData>
  <mergeCells count="10">
    <mergeCell ref="B1:R1"/>
    <mergeCell ref="J4:N4"/>
    <mergeCell ref="N5:N16"/>
    <mergeCell ref="M5:M16"/>
    <mergeCell ref="P5:P24"/>
    <mergeCell ref="K10:K15"/>
    <mergeCell ref="J10:J15"/>
    <mergeCell ref="C5:C9"/>
    <mergeCell ref="B2:R2"/>
    <mergeCell ref="O3:Q3"/>
  </mergeCells>
  <phoneticPr fontId="52" type="noConversion"/>
  <conditionalFormatting sqref="A1:B1">
    <cfRule type="cellIs" dxfId="101" priority="1" operator="equal">
      <formula>0</formula>
    </cfRule>
  </conditionalFormatting>
  <hyperlinks>
    <hyperlink ref="B1" location="Summary!A1" display="Summary!A1" xr:uid="{5FBE871B-D005-402C-9FE8-9E4A27E93B14}"/>
    <hyperlink ref="R25" location="Summary!T29" display="Summary!T29" xr:uid="{334A0B40-EAF9-4603-AF7C-0857DB9051DA}"/>
  </hyperlinks>
  <printOptions horizontalCentered="1"/>
  <pageMargins left="0.11811023622047245" right="0"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FF00"/>
    <pageSetUpPr fitToPage="1"/>
  </sheetPr>
  <dimension ref="A1:Q20"/>
  <sheetViews>
    <sheetView zoomScaleNormal="100" zoomScaleSheetLayoutView="100" workbookViewId="0">
      <pane xSplit="3" ySplit="4" topLeftCell="D5" activePane="bottomRight" state="frozen"/>
      <selection activeCell="L17" sqref="L17"/>
      <selection pane="topRight" activeCell="L17" sqref="L17"/>
      <selection pane="bottomLeft" activeCell="L17" sqref="L17"/>
      <selection pane="bottomRight" activeCell="L17" sqref="L17"/>
    </sheetView>
  </sheetViews>
  <sheetFormatPr baseColWidth="10" defaultColWidth="8.83203125" defaultRowHeight="15" x14ac:dyDescent="0.2"/>
  <cols>
    <col min="1" max="1" width="7" style="14" customWidth="1"/>
    <col min="2" max="2" width="16.5" style="14" customWidth="1"/>
    <col min="3" max="3" width="30.83203125" style="14" customWidth="1"/>
    <col min="4" max="4" width="8.83203125" style="14" hidden="1" customWidth="1"/>
    <col min="5" max="7" width="9.83203125" style="14" hidden="1" customWidth="1"/>
    <col min="8" max="8" width="5" style="14" hidden="1" customWidth="1"/>
    <col min="9" max="10" width="9.83203125" style="14" bestFit="1" customWidth="1"/>
    <col min="11" max="11" width="9.83203125" style="14" customWidth="1"/>
    <col min="12" max="12" width="9.83203125" style="14" bestFit="1" customWidth="1"/>
    <col min="13" max="13" width="8.83203125" style="14"/>
    <col min="14" max="14" width="11.6640625" style="14" bestFit="1" customWidth="1"/>
    <col min="15" max="15" width="13.5" style="14" bestFit="1" customWidth="1"/>
    <col min="16" max="16" width="27.5" style="14" bestFit="1" customWidth="1"/>
    <col min="17" max="17" width="7.83203125" style="14" bestFit="1" customWidth="1"/>
    <col min="18" max="16384" width="8.83203125" style="14"/>
  </cols>
  <sheetData>
    <row r="1" spans="1:17" s="1909" customFormat="1" ht="24" x14ac:dyDescent="0.2">
      <c r="A1" s="1912"/>
      <c r="B1" s="2289" t="s">
        <v>725</v>
      </c>
      <c r="C1" s="2289"/>
      <c r="D1" s="2289"/>
      <c r="E1" s="2289"/>
      <c r="F1" s="2289"/>
      <c r="G1" s="2289"/>
      <c r="H1" s="2289"/>
      <c r="I1" s="2289"/>
      <c r="J1" s="2289"/>
      <c r="K1" s="2289"/>
      <c r="L1" s="2289"/>
      <c r="M1" s="1929"/>
      <c r="N1" s="1683"/>
      <c r="O1" s="1929"/>
      <c r="P1" s="1929"/>
    </row>
    <row r="2" spans="1:17" ht="16" x14ac:dyDescent="0.2">
      <c r="B2" s="2436" t="s">
        <v>22</v>
      </c>
      <c r="C2" s="2437"/>
      <c r="D2" s="2437"/>
      <c r="E2" s="2437"/>
      <c r="F2" s="2437"/>
      <c r="G2" s="2437"/>
      <c r="H2" s="2437"/>
      <c r="I2" s="2437"/>
      <c r="J2" s="2437"/>
      <c r="K2" s="2437"/>
      <c r="L2" s="2438"/>
    </row>
    <row r="3" spans="1:17" ht="16" x14ac:dyDescent="0.2">
      <c r="B3" s="333" t="s">
        <v>560</v>
      </c>
      <c r="C3" s="333" t="s">
        <v>160</v>
      </c>
      <c r="D3" s="334">
        <v>2017</v>
      </c>
      <c r="E3" s="334">
        <v>2018</v>
      </c>
      <c r="F3" s="334">
        <v>2019</v>
      </c>
      <c r="G3" s="334">
        <v>2020</v>
      </c>
      <c r="H3" s="334">
        <v>2021</v>
      </c>
      <c r="I3" s="2440" t="s">
        <v>481</v>
      </c>
      <c r="J3" s="2441"/>
      <c r="K3" s="2442"/>
      <c r="L3" s="1475" t="s">
        <v>519</v>
      </c>
    </row>
    <row r="4" spans="1:17" x14ac:dyDescent="0.2">
      <c r="B4" s="12"/>
      <c r="C4" s="12"/>
      <c r="D4" s="334">
        <v>2017</v>
      </c>
      <c r="E4" s="334">
        <v>2018</v>
      </c>
      <c r="F4" s="334">
        <v>2019</v>
      </c>
      <c r="G4" s="334">
        <v>2020</v>
      </c>
      <c r="H4" s="334">
        <v>2021</v>
      </c>
      <c r="I4" s="1257">
        <v>2022</v>
      </c>
      <c r="J4" s="1257">
        <v>2023</v>
      </c>
      <c r="K4" s="1257">
        <v>2024</v>
      </c>
      <c r="L4" s="1257">
        <v>2024</v>
      </c>
      <c r="Q4" s="2037"/>
    </row>
    <row r="5" spans="1:17" x14ac:dyDescent="0.2">
      <c r="B5" s="12" t="s">
        <v>22</v>
      </c>
      <c r="C5" s="12" t="s">
        <v>561</v>
      </c>
      <c r="D5" s="323">
        <v>-6.99</v>
      </c>
      <c r="E5" s="323"/>
      <c r="F5" s="323"/>
      <c r="G5" s="2439">
        <v>0</v>
      </c>
      <c r="H5" s="2439">
        <v>0</v>
      </c>
      <c r="I5" s="323"/>
      <c r="J5" s="323"/>
      <c r="K5" s="323"/>
      <c r="L5" s="323"/>
      <c r="Q5" s="2037"/>
    </row>
    <row r="6" spans="1:17" x14ac:dyDescent="0.2">
      <c r="B6" s="12" t="s">
        <v>22</v>
      </c>
      <c r="C6" s="12" t="s">
        <v>562</v>
      </c>
      <c r="D6" s="323">
        <v>-85.45</v>
      </c>
      <c r="E6" s="323"/>
      <c r="F6" s="323"/>
      <c r="G6" s="2439"/>
      <c r="H6" s="2439"/>
      <c r="I6" s="323"/>
      <c r="J6" s="323"/>
      <c r="K6" s="323"/>
      <c r="L6" s="323"/>
      <c r="N6" s="2020" t="s">
        <v>586</v>
      </c>
      <c r="O6" s="2020" t="s">
        <v>163</v>
      </c>
      <c r="P6" s="2020" t="s">
        <v>160</v>
      </c>
      <c r="Q6" s="2020"/>
    </row>
    <row r="7" spans="1:17" x14ac:dyDescent="0.2">
      <c r="B7" s="13"/>
      <c r="C7" s="13" t="s">
        <v>673</v>
      </c>
      <c r="D7" s="932"/>
      <c r="E7" s="932">
        <v>-3</v>
      </c>
      <c r="F7" s="323">
        <v>-3.5</v>
      </c>
      <c r="G7" s="2439"/>
      <c r="H7" s="2439"/>
      <c r="I7" s="323"/>
      <c r="J7" s="323"/>
      <c r="K7" s="323"/>
      <c r="L7" s="323"/>
      <c r="N7" s="2038">
        <v>45565</v>
      </c>
      <c r="O7" s="1311" t="s">
        <v>864</v>
      </c>
      <c r="P7" s="1311" t="s">
        <v>1193</v>
      </c>
      <c r="Q7" s="2021">
        <v>-15.98</v>
      </c>
    </row>
    <row r="8" spans="1:17" x14ac:dyDescent="0.2">
      <c r="B8" s="13"/>
      <c r="C8" s="13" t="s">
        <v>27</v>
      </c>
      <c r="D8" s="932"/>
      <c r="E8" s="932">
        <v>-28.03</v>
      </c>
      <c r="F8" s="323"/>
      <c r="G8" s="2439"/>
      <c r="H8" s="2439"/>
      <c r="I8" s="323"/>
      <c r="J8" s="323"/>
      <c r="K8" s="323"/>
      <c r="L8" s="323"/>
      <c r="N8" s="2039">
        <v>45633</v>
      </c>
      <c r="O8" s="1021" t="s">
        <v>103</v>
      </c>
      <c r="P8" s="1021" t="s">
        <v>1194</v>
      </c>
      <c r="Q8" s="2022">
        <v>-15</v>
      </c>
    </row>
    <row r="9" spans="1:17" ht="16" thickBot="1" x14ac:dyDescent="0.25">
      <c r="B9" s="13"/>
      <c r="C9" s="13" t="s">
        <v>674</v>
      </c>
      <c r="D9" s="932"/>
      <c r="E9" s="932">
        <v>-59.81</v>
      </c>
      <c r="F9" s="323">
        <v>-57.38</v>
      </c>
      <c r="G9" s="2439"/>
      <c r="H9" s="2439"/>
      <c r="I9" s="323"/>
      <c r="J9" s="323"/>
      <c r="K9" s="323"/>
      <c r="L9" s="323"/>
      <c r="N9" s="2023"/>
      <c r="O9" s="2023"/>
      <c r="P9" s="2023"/>
      <c r="Q9" s="2040">
        <f>SUM(Q7:Q8)</f>
        <v>-30.98</v>
      </c>
    </row>
    <row r="10" spans="1:17" ht="16" thickTop="1" x14ac:dyDescent="0.2">
      <c r="B10" s="13"/>
      <c r="C10" s="13" t="s">
        <v>675</v>
      </c>
      <c r="D10" s="932"/>
      <c r="E10" s="932">
        <v>-3</v>
      </c>
      <c r="F10" s="323"/>
      <c r="G10" s="2439"/>
      <c r="H10" s="2439"/>
      <c r="I10" s="323"/>
      <c r="J10" s="323"/>
      <c r="K10" s="323"/>
      <c r="L10" s="323"/>
      <c r="Q10" s="2037"/>
    </row>
    <row r="11" spans="1:17" x14ac:dyDescent="0.2">
      <c r="B11" s="13"/>
      <c r="C11" s="13" t="s">
        <v>1026</v>
      </c>
      <c r="D11" s="932"/>
      <c r="E11" s="932"/>
      <c r="F11" s="323"/>
      <c r="G11" s="1267"/>
      <c r="H11" s="1267"/>
      <c r="I11" s="925">
        <v>-26.58</v>
      </c>
      <c r="J11" s="323"/>
      <c r="K11" s="323"/>
      <c r="L11" s="323"/>
      <c r="Q11" s="2037"/>
    </row>
    <row r="12" spans="1:17" x14ac:dyDescent="0.2">
      <c r="B12" s="13"/>
      <c r="C12" s="13" t="s">
        <v>1027</v>
      </c>
      <c r="D12" s="932"/>
      <c r="E12" s="932"/>
      <c r="F12" s="323"/>
      <c r="G12" s="1267"/>
      <c r="H12" s="1267"/>
      <c r="I12" s="925">
        <v>-34.14</v>
      </c>
      <c r="J12" s="323"/>
      <c r="K12" s="323">
        <v>-15</v>
      </c>
      <c r="L12" s="323"/>
      <c r="Q12" s="2037"/>
    </row>
    <row r="13" spans="1:17" x14ac:dyDescent="0.2">
      <c r="B13" s="13"/>
      <c r="C13" s="1258" t="s">
        <v>1193</v>
      </c>
      <c r="D13" s="932"/>
      <c r="E13" s="932"/>
      <c r="F13" s="323"/>
      <c r="G13" s="1267"/>
      <c r="H13" s="1267"/>
      <c r="I13" s="925"/>
      <c r="J13" s="323"/>
      <c r="K13" s="323">
        <v>-15.98</v>
      </c>
      <c r="L13" s="323"/>
      <c r="Q13" s="2037"/>
    </row>
    <row r="14" spans="1:17" x14ac:dyDescent="0.2">
      <c r="B14" s="13"/>
      <c r="C14" s="13"/>
      <c r="D14" s="932"/>
      <c r="E14" s="932"/>
      <c r="F14" s="323"/>
      <c r="G14" s="1267"/>
      <c r="H14" s="1267"/>
      <c r="I14" s="925"/>
      <c r="J14" s="323"/>
      <c r="K14" s="323"/>
      <c r="L14" s="323"/>
    </row>
    <row r="15" spans="1:17" x14ac:dyDescent="0.2">
      <c r="B15" s="13"/>
      <c r="C15" s="13"/>
      <c r="D15" s="932"/>
      <c r="E15" s="932"/>
      <c r="F15" s="323"/>
      <c r="G15" s="1267"/>
      <c r="H15" s="1267"/>
      <c r="I15" s="925"/>
      <c r="J15" s="323"/>
      <c r="K15" s="323"/>
      <c r="L15" s="323"/>
    </row>
    <row r="16" spans="1:17" x14ac:dyDescent="0.2">
      <c r="B16" s="13"/>
      <c r="C16" s="13"/>
      <c r="D16" s="932"/>
      <c r="E16" s="932"/>
      <c r="F16" s="323"/>
      <c r="G16" s="1267"/>
      <c r="H16" s="1267"/>
      <c r="I16" s="925"/>
      <c r="J16" s="323"/>
      <c r="K16" s="323"/>
      <c r="L16" s="323"/>
    </row>
    <row r="17" spans="2:13" x14ac:dyDescent="0.2">
      <c r="B17" s="13"/>
      <c r="C17" s="13"/>
      <c r="D17" s="932"/>
      <c r="E17" s="932"/>
      <c r="F17" s="323"/>
      <c r="G17" s="1267"/>
      <c r="H17" s="1267"/>
      <c r="I17" s="925"/>
      <c r="J17" s="323"/>
      <c r="K17" s="323"/>
      <c r="L17" s="323"/>
    </row>
    <row r="18" spans="2:13" x14ac:dyDescent="0.2">
      <c r="B18" s="13"/>
      <c r="C18" s="13"/>
      <c r="D18" s="932"/>
      <c r="E18" s="932"/>
      <c r="F18" s="323"/>
      <c r="G18" s="1267"/>
      <c r="H18" s="1267"/>
      <c r="I18" s="925"/>
      <c r="J18" s="323">
        <v>-34</v>
      </c>
      <c r="K18" s="323"/>
      <c r="L18" s="990">
        <v>-50</v>
      </c>
    </row>
    <row r="19" spans="2:13" ht="16" thickBot="1" x14ac:dyDescent="0.25">
      <c r="B19" s="60"/>
      <c r="C19" s="60"/>
      <c r="D19" s="933">
        <f>SUM(D5:D18)</f>
        <v>-92.44</v>
      </c>
      <c r="E19" s="933">
        <f t="shared" ref="E19:K19" si="0">SUM(E5:E18)</f>
        <v>-93.84</v>
      </c>
      <c r="F19" s="933">
        <f t="shared" si="0"/>
        <v>-60.88</v>
      </c>
      <c r="G19" s="933">
        <f t="shared" si="0"/>
        <v>0</v>
      </c>
      <c r="H19" s="933">
        <f t="shared" si="0"/>
        <v>0</v>
      </c>
      <c r="I19" s="933">
        <f t="shared" si="0"/>
        <v>-60.72</v>
      </c>
      <c r="J19" s="1074">
        <f t="shared" si="0"/>
        <v>-34</v>
      </c>
      <c r="K19" s="1074">
        <f t="shared" si="0"/>
        <v>-30.98</v>
      </c>
      <c r="L19" s="964">
        <f>SUM(L5:L18)</f>
        <v>-50</v>
      </c>
      <c r="M19" s="2041"/>
    </row>
    <row r="20" spans="2:13" ht="16" thickTop="1" x14ac:dyDescent="0.2"/>
  </sheetData>
  <mergeCells count="5">
    <mergeCell ref="B2:L2"/>
    <mergeCell ref="B1:L1"/>
    <mergeCell ref="G5:G10"/>
    <mergeCell ref="H5:H10"/>
    <mergeCell ref="I3:K3"/>
  </mergeCells>
  <conditionalFormatting sqref="A1:B1">
    <cfRule type="cellIs" dxfId="100" priority="1" operator="equal">
      <formula>0</formula>
    </cfRule>
  </conditionalFormatting>
  <hyperlinks>
    <hyperlink ref="B1" location="Summary!A1" display="Summary!A1" xr:uid="{2E119403-3B8F-43EF-9FA3-8E655E141C2B}"/>
    <hyperlink ref="L19" location="Summary!T31" display="Summary!T31" xr:uid="{D345EFD4-0E2D-4B2C-8B2E-8C141BF0218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9"/>
  <sheetViews>
    <sheetView view="pageBreakPreview" zoomScaleNormal="100" zoomScaleSheetLayoutView="100" workbookViewId="0">
      <selection activeCell="B1" sqref="B1"/>
    </sheetView>
  </sheetViews>
  <sheetFormatPr baseColWidth="10" defaultColWidth="8.83203125" defaultRowHeight="15" x14ac:dyDescent="0.2"/>
  <cols>
    <col min="2" max="2" width="40.1640625" bestFit="1" customWidth="1"/>
    <col min="3" max="3" width="7.5" hidden="1" customWidth="1"/>
    <col min="4" max="4" width="1.5" hidden="1" customWidth="1"/>
    <col min="5" max="5" width="9.83203125" hidden="1" customWidth="1"/>
    <col min="6" max="6" width="9.83203125" bestFit="1" customWidth="1"/>
  </cols>
  <sheetData>
    <row r="1" spans="2:6" x14ac:dyDescent="0.2">
      <c r="B1" s="341" t="s">
        <v>631</v>
      </c>
      <c r="D1" t="s">
        <v>70</v>
      </c>
    </row>
    <row r="4" spans="2:6" ht="16" x14ac:dyDescent="0.2">
      <c r="B4" s="2204" t="s">
        <v>634</v>
      </c>
      <c r="C4" s="2205"/>
      <c r="D4" s="2205"/>
      <c r="E4" s="2205"/>
      <c r="F4" s="2205"/>
    </row>
    <row r="5" spans="2:6" x14ac:dyDescent="0.2">
      <c r="B5" s="126" t="s">
        <v>416</v>
      </c>
      <c r="C5" s="127">
        <v>2016</v>
      </c>
      <c r="D5" s="124"/>
      <c r="E5" s="127">
        <v>2017</v>
      </c>
      <c r="F5" s="127">
        <v>2018</v>
      </c>
    </row>
    <row r="6" spans="2:6" x14ac:dyDescent="0.2">
      <c r="B6" s="118" t="s">
        <v>409</v>
      </c>
      <c r="C6" s="116">
        <v>6852</v>
      </c>
      <c r="D6" s="125"/>
      <c r="E6" s="116">
        <f>+Summary!V107+-Summary!V105</f>
        <v>5850</v>
      </c>
      <c r="F6" s="116">
        <f>+Summary!V107-Summary!V105</f>
        <v>5850</v>
      </c>
    </row>
    <row r="7" spans="2:6" x14ac:dyDescent="0.2">
      <c r="B7" s="118" t="s">
        <v>413</v>
      </c>
      <c r="C7" s="116">
        <v>-1684</v>
      </c>
      <c r="D7" s="125"/>
      <c r="E7" s="116" t="e">
        <f>+'51 Depreciation'!#REF!</f>
        <v>#REF!</v>
      </c>
      <c r="F7" s="116">
        <f>+Summary!V105</f>
        <v>0</v>
      </c>
    </row>
    <row r="8" spans="2:6" ht="16" thickBot="1" x14ac:dyDescent="0.25">
      <c r="B8" s="130" t="s">
        <v>414</v>
      </c>
      <c r="C8" s="121">
        <f>SUM(C6:C7)</f>
        <v>5168</v>
      </c>
      <c r="D8" s="125"/>
      <c r="E8" s="121" t="e">
        <f>SUM(E6:E7)</f>
        <v>#REF!</v>
      </c>
      <c r="F8" s="121">
        <f>SUM(F6:F7)</f>
        <v>5850</v>
      </c>
    </row>
    <row r="9" spans="2:6" ht="16" thickTop="1" x14ac:dyDescent="0.2">
      <c r="B9" s="154"/>
      <c r="C9" s="155"/>
      <c r="D9" s="154"/>
      <c r="E9" s="155"/>
      <c r="F9" s="155"/>
    </row>
    <row r="10" spans="2:6" x14ac:dyDescent="0.2">
      <c r="B10" s="158" t="s">
        <v>471</v>
      </c>
      <c r="C10" s="159"/>
      <c r="D10" s="159"/>
      <c r="E10" s="280"/>
      <c r="F10" s="280"/>
    </row>
    <row r="11" spans="2:6" x14ac:dyDescent="0.2">
      <c r="B11" s="153" t="s">
        <v>410</v>
      </c>
      <c r="C11" s="117">
        <v>14696</v>
      </c>
      <c r="D11" s="125"/>
      <c r="E11" s="117">
        <v>19495</v>
      </c>
      <c r="F11" s="117" t="e">
        <f>+Summary!#REF!</f>
        <v>#REF!</v>
      </c>
    </row>
    <row r="12" spans="2:6" hidden="1" x14ac:dyDescent="0.2">
      <c r="B12" s="118" t="s">
        <v>18</v>
      </c>
      <c r="C12" s="116">
        <v>-2053</v>
      </c>
      <c r="D12" s="125"/>
      <c r="E12" s="116"/>
      <c r="F12" s="116"/>
    </row>
    <row r="13" spans="2:6" hidden="1" x14ac:dyDescent="0.2">
      <c r="B13" s="118"/>
      <c r="C13" s="116"/>
      <c r="D13" s="125"/>
      <c r="E13" s="116">
        <f>+'14 New Equipment'!I10</f>
        <v>-2568</v>
      </c>
      <c r="F13" s="116"/>
    </row>
    <row r="14" spans="2:6" hidden="1" x14ac:dyDescent="0.2">
      <c r="B14" s="118"/>
      <c r="C14" s="116"/>
      <c r="D14" s="125"/>
      <c r="E14" s="116">
        <f>+'14 New Equipment'!I9</f>
        <v>-1200</v>
      </c>
      <c r="F14" s="116"/>
    </row>
    <row r="15" spans="2:6" hidden="1" x14ac:dyDescent="0.2">
      <c r="B15" s="118"/>
      <c r="C15" s="116"/>
      <c r="D15" s="125"/>
      <c r="E15" s="116">
        <f>+'14 New Equipment'!I11</f>
        <v>-1920</v>
      </c>
      <c r="F15" s="116"/>
    </row>
    <row r="16" spans="2:6" x14ac:dyDescent="0.2">
      <c r="B16" s="118" t="s">
        <v>411</v>
      </c>
      <c r="C16" s="116">
        <f>+C6</f>
        <v>6852</v>
      </c>
      <c r="D16" s="125"/>
      <c r="E16" s="116">
        <f>+E6</f>
        <v>5850</v>
      </c>
      <c r="F16" s="116">
        <f>+F6</f>
        <v>5850</v>
      </c>
    </row>
    <row r="17" spans="2:6" x14ac:dyDescent="0.2">
      <c r="B17" s="118" t="s">
        <v>418</v>
      </c>
      <c r="C17" s="116"/>
      <c r="D17" s="125"/>
      <c r="E17" s="116">
        <v>2</v>
      </c>
      <c r="F17" s="116">
        <v>2</v>
      </c>
    </row>
    <row r="18" spans="2:6" ht="16" thickBot="1" x14ac:dyDescent="0.25">
      <c r="B18" s="123" t="s">
        <v>635</v>
      </c>
      <c r="C18" s="121">
        <f>SUM(C11:C17)</f>
        <v>19495</v>
      </c>
      <c r="D18" s="128"/>
      <c r="E18" s="121">
        <f>SUM(E11:E17)</f>
        <v>19659</v>
      </c>
      <c r="F18" s="121" t="e">
        <f>SUM(F11:F17)</f>
        <v>#REF!</v>
      </c>
    </row>
    <row r="19" spans="2:6" ht="16" thickTop="1" x14ac:dyDescent="0.2"/>
  </sheetData>
  <mergeCells count="1">
    <mergeCell ref="B4:F4"/>
  </mergeCells>
  <conditionalFormatting sqref="B4:B5">
    <cfRule type="cellIs" dxfId="228" priority="2" operator="equal">
      <formula>0</formula>
    </cfRule>
  </conditionalFormatting>
  <hyperlinks>
    <hyperlink ref="B1" location="'01-02 Summary'!A1" display="Go back to Summary" xr:uid="{B0E9B256-1C79-4426-B41D-E06C71D036D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FF00"/>
    <pageSetUpPr fitToPage="1"/>
  </sheetPr>
  <dimension ref="B1:Q15"/>
  <sheetViews>
    <sheetView zoomScaleNormal="100" zoomScaleSheetLayoutView="100" workbookViewId="0">
      <pane xSplit="2" ySplit="4" topLeftCell="C5" activePane="bottomRight" state="frozen"/>
      <selection activeCell="L17" sqref="L17"/>
      <selection pane="topRight" activeCell="L17" sqref="L17"/>
      <selection pane="bottomLeft" activeCell="L17" sqref="L17"/>
      <selection pane="bottomRight" activeCell="L17" sqref="L17"/>
    </sheetView>
  </sheetViews>
  <sheetFormatPr baseColWidth="10" defaultColWidth="8.83203125" defaultRowHeight="15" x14ac:dyDescent="0.2"/>
  <cols>
    <col min="1" max="1" width="8.1640625" style="14" customWidth="1"/>
    <col min="2" max="2" width="22" style="14" bestFit="1" customWidth="1"/>
    <col min="3" max="8" width="8.6640625" style="14" hidden="1" customWidth="1"/>
    <col min="9" max="12" width="8.6640625" style="14" customWidth="1"/>
    <col min="13" max="13" width="8.83203125" style="14"/>
    <col min="14" max="14" width="10.5" style="14" bestFit="1" customWidth="1"/>
    <col min="15" max="15" width="17.83203125" style="14" bestFit="1" customWidth="1"/>
    <col min="16" max="16" width="20.5" style="14" bestFit="1" customWidth="1"/>
    <col min="17" max="17" width="10.33203125" style="14" bestFit="1" customWidth="1"/>
    <col min="18" max="16384" width="8.83203125" style="14"/>
  </cols>
  <sheetData>
    <row r="1" spans="2:17" s="1909" customFormat="1" ht="24" x14ac:dyDescent="0.2">
      <c r="B1" s="2289" t="s">
        <v>725</v>
      </c>
      <c r="C1" s="2289"/>
      <c r="D1" s="2289"/>
      <c r="E1" s="2289"/>
      <c r="F1" s="2289"/>
      <c r="G1" s="2289"/>
      <c r="H1" s="2289"/>
      <c r="I1" s="2289"/>
      <c r="J1" s="2289"/>
      <c r="K1" s="2289"/>
      <c r="L1" s="2289"/>
      <c r="N1" s="1683"/>
    </row>
    <row r="2" spans="2:17" ht="16" x14ac:dyDescent="0.2">
      <c r="B2" s="2443" t="s">
        <v>517</v>
      </c>
      <c r="C2" s="2443"/>
      <c r="D2" s="2443"/>
      <c r="E2" s="2443"/>
      <c r="F2" s="2443"/>
      <c r="G2" s="2443"/>
      <c r="H2" s="2443"/>
      <c r="I2" s="2443"/>
      <c r="J2" s="2443"/>
      <c r="K2" s="2443"/>
      <c r="L2" s="2443"/>
    </row>
    <row r="3" spans="2:17" x14ac:dyDescent="0.2">
      <c r="B3" s="52" t="s">
        <v>163</v>
      </c>
      <c r="C3" s="27">
        <v>2016</v>
      </c>
      <c r="D3" s="27">
        <v>2017</v>
      </c>
      <c r="E3" s="27">
        <v>2018</v>
      </c>
      <c r="F3" s="27">
        <v>2019</v>
      </c>
      <c r="G3" s="27">
        <v>2020</v>
      </c>
      <c r="H3" s="27">
        <v>2021</v>
      </c>
      <c r="I3" s="2446" t="s">
        <v>481</v>
      </c>
      <c r="J3" s="2446"/>
      <c r="K3" s="2446"/>
      <c r="L3" s="1477" t="s">
        <v>519</v>
      </c>
    </row>
    <row r="4" spans="2:17" x14ac:dyDescent="0.2">
      <c r="B4" s="52"/>
      <c r="C4" s="27"/>
      <c r="D4" s="27"/>
      <c r="E4" s="27"/>
      <c r="F4" s="27"/>
      <c r="G4" s="27"/>
      <c r="H4" s="27"/>
      <c r="I4" s="27">
        <v>2022</v>
      </c>
      <c r="J4" s="27">
        <v>2023</v>
      </c>
      <c r="K4" s="27">
        <v>2024</v>
      </c>
      <c r="L4" s="27">
        <v>2025</v>
      </c>
    </row>
    <row r="5" spans="2:17" x14ac:dyDescent="0.2">
      <c r="B5" s="73" t="s">
        <v>563</v>
      </c>
      <c r="C5" s="916"/>
      <c r="D5" s="707">
        <v>-134</v>
      </c>
      <c r="E5" s="707"/>
      <c r="F5" s="707"/>
      <c r="G5" s="707"/>
      <c r="H5" s="707"/>
      <c r="I5" s="2444"/>
      <c r="J5" s="2445">
        <v>-214</v>
      </c>
      <c r="K5" s="817">
        <v>-27.22</v>
      </c>
      <c r="L5" s="947"/>
    </row>
    <row r="6" spans="2:17" x14ac:dyDescent="0.2">
      <c r="B6" s="73" t="s">
        <v>875</v>
      </c>
      <c r="C6" s="916"/>
      <c r="D6" s="707"/>
      <c r="E6" s="707"/>
      <c r="F6" s="707"/>
      <c r="G6" s="707">
        <v>147</v>
      </c>
      <c r="H6" s="707"/>
      <c r="I6" s="2444"/>
      <c r="J6" s="2445"/>
      <c r="K6" s="817"/>
      <c r="L6" s="947"/>
      <c r="N6" s="2039">
        <v>45476</v>
      </c>
      <c r="O6" s="1021" t="s">
        <v>1195</v>
      </c>
      <c r="P6" s="1021" t="s">
        <v>1196</v>
      </c>
      <c r="Q6" s="2022">
        <v>-482.64</v>
      </c>
    </row>
    <row r="7" spans="2:17" x14ac:dyDescent="0.2">
      <c r="B7" s="330" t="s">
        <v>805</v>
      </c>
      <c r="C7" s="916"/>
      <c r="D7" s="707"/>
      <c r="E7" s="707"/>
      <c r="F7" s="707">
        <v>172.8</v>
      </c>
      <c r="G7" s="707"/>
      <c r="H7" s="707"/>
      <c r="I7" s="2444"/>
      <c r="J7" s="2445"/>
      <c r="K7" s="817">
        <v>-1032.9000000000001</v>
      </c>
      <c r="L7" s="947"/>
      <c r="N7" s="2038">
        <v>45573</v>
      </c>
      <c r="O7" s="1311" t="s">
        <v>101</v>
      </c>
      <c r="P7" s="1311" t="s">
        <v>1197</v>
      </c>
      <c r="Q7" s="2021">
        <v>-27.22</v>
      </c>
    </row>
    <row r="8" spans="2:17" x14ac:dyDescent="0.2">
      <c r="B8" s="330"/>
      <c r="C8" s="916"/>
      <c r="D8" s="707"/>
      <c r="E8" s="707"/>
      <c r="F8" s="707"/>
      <c r="G8" s="707"/>
      <c r="H8" s="707"/>
      <c r="I8" s="705"/>
      <c r="J8" s="817"/>
      <c r="K8" s="817"/>
      <c r="L8" s="817"/>
      <c r="N8" s="2039">
        <v>45602</v>
      </c>
      <c r="O8" s="1021" t="s">
        <v>1195</v>
      </c>
      <c r="P8" s="1021" t="s">
        <v>1198</v>
      </c>
      <c r="Q8" s="2022">
        <v>-550.26</v>
      </c>
    </row>
    <row r="9" spans="2:17" ht="16" thickBot="1" x14ac:dyDescent="0.25">
      <c r="B9" s="330"/>
      <c r="C9" s="916"/>
      <c r="D9" s="707"/>
      <c r="E9" s="707"/>
      <c r="F9" s="707"/>
      <c r="G9" s="707"/>
      <c r="H9" s="707"/>
      <c r="I9" s="705"/>
      <c r="J9" s="817"/>
      <c r="K9" s="817"/>
      <c r="L9" s="817"/>
      <c r="N9" s="2023"/>
      <c r="O9" s="2023"/>
      <c r="P9" s="2023"/>
      <c r="Q9" s="2040">
        <f>SUM(Q6:Q8)</f>
        <v>-1060.1199999999999</v>
      </c>
    </row>
    <row r="10" spans="2:17" ht="16" thickTop="1" x14ac:dyDescent="0.2">
      <c r="B10" s="330"/>
      <c r="C10" s="916"/>
      <c r="D10" s="707"/>
      <c r="E10" s="707"/>
      <c r="F10" s="707"/>
      <c r="G10" s="707"/>
      <c r="H10" s="707"/>
      <c r="I10" s="705"/>
      <c r="J10" s="817"/>
      <c r="K10" s="817"/>
      <c r="L10" s="817"/>
      <c r="Q10" s="2037"/>
    </row>
    <row r="11" spans="2:17" x14ac:dyDescent="0.2">
      <c r="B11" s="330"/>
      <c r="C11" s="916"/>
      <c r="D11" s="707"/>
      <c r="E11" s="707"/>
      <c r="F11" s="707"/>
      <c r="G11" s="707"/>
      <c r="H11" s="707"/>
      <c r="I11" s="705"/>
      <c r="J11" s="817"/>
      <c r="K11" s="817"/>
      <c r="L11" s="817"/>
    </row>
    <row r="12" spans="2:17" x14ac:dyDescent="0.2">
      <c r="B12" s="330"/>
      <c r="C12" s="916"/>
      <c r="D12" s="707"/>
      <c r="E12" s="707"/>
      <c r="F12" s="707"/>
      <c r="G12" s="707"/>
      <c r="H12" s="707"/>
      <c r="I12" s="705"/>
      <c r="J12" s="817"/>
      <c r="K12" s="817"/>
      <c r="L12" s="817"/>
    </row>
    <row r="13" spans="2:17" x14ac:dyDescent="0.2">
      <c r="B13" s="330"/>
      <c r="C13" s="916"/>
      <c r="D13" s="707"/>
      <c r="E13" s="707"/>
      <c r="F13" s="707"/>
      <c r="G13" s="707"/>
      <c r="H13" s="707"/>
      <c r="I13" s="705"/>
      <c r="J13" s="817"/>
      <c r="K13" s="817"/>
      <c r="L13" s="1151">
        <v>-150</v>
      </c>
    </row>
    <row r="14" spans="2:17" ht="16" thickBot="1" x14ac:dyDescent="0.25">
      <c r="B14" s="24"/>
      <c r="C14" s="919">
        <f>SUM(C4:C13)</f>
        <v>0</v>
      </c>
      <c r="D14" s="919">
        <f t="shared" ref="D14:I14" si="0">SUM(D4:D13)</f>
        <v>-134</v>
      </c>
      <c r="E14" s="919">
        <f t="shared" si="0"/>
        <v>0</v>
      </c>
      <c r="F14" s="919">
        <f t="shared" si="0"/>
        <v>172.8</v>
      </c>
      <c r="G14" s="919">
        <f t="shared" si="0"/>
        <v>147</v>
      </c>
      <c r="H14" s="919">
        <f t="shared" si="0"/>
        <v>0</v>
      </c>
      <c r="I14" s="919">
        <f t="shared" si="0"/>
        <v>2022</v>
      </c>
      <c r="J14" s="1074">
        <f t="shared" ref="J14:K14" si="1">SUM(J5:J13)</f>
        <v>-214</v>
      </c>
      <c r="K14" s="1074">
        <f t="shared" si="1"/>
        <v>-1060.1200000000001</v>
      </c>
      <c r="L14" s="964">
        <f>SUM(L5:L13)</f>
        <v>-150</v>
      </c>
    </row>
    <row r="15" spans="2:17" ht="16" thickTop="1" x14ac:dyDescent="0.2"/>
  </sheetData>
  <mergeCells count="5">
    <mergeCell ref="B2:L2"/>
    <mergeCell ref="B1:L1"/>
    <mergeCell ref="I5:I7"/>
    <mergeCell ref="J5:J7"/>
    <mergeCell ref="I3:K3"/>
  </mergeCells>
  <conditionalFormatting sqref="B1">
    <cfRule type="cellIs" dxfId="99" priority="1" operator="equal">
      <formula>0</formula>
    </cfRule>
  </conditionalFormatting>
  <hyperlinks>
    <hyperlink ref="B1" location="Summary!A1" display="Summary!A1" xr:uid="{D9D8417E-24C4-45AC-B292-BD49849A3A1B}"/>
    <hyperlink ref="L14" location="Summary!T32" display="Summary!T32" xr:uid="{D294878C-8CE6-476E-B57F-58E1ABD9E89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FF00"/>
    <pageSetUpPr fitToPage="1"/>
  </sheetPr>
  <dimension ref="A1:U22"/>
  <sheetViews>
    <sheetView zoomScaleNormal="100" zoomScaleSheetLayoutView="100" workbookViewId="0">
      <pane ySplit="5" topLeftCell="A6" activePane="bottomLeft" state="frozen"/>
      <selection activeCell="L17" sqref="L17"/>
      <selection pane="bottomLeft" activeCell="L17" sqref="L17"/>
    </sheetView>
  </sheetViews>
  <sheetFormatPr baseColWidth="10" defaultColWidth="8.83203125" defaultRowHeight="15" x14ac:dyDescent="0.2"/>
  <cols>
    <col min="1" max="1" width="2.6640625" style="2" customWidth="1"/>
    <col min="2" max="2" width="20" style="2030" bestFit="1" customWidth="1"/>
    <col min="3" max="3" width="14.5" style="2" hidden="1" customWidth="1"/>
    <col min="4" max="4" width="33.1640625" style="2" hidden="1" customWidth="1"/>
    <col min="5" max="10" width="5" style="2" hidden="1" customWidth="1"/>
    <col min="11" max="13" width="7.5" style="2" hidden="1" customWidth="1"/>
    <col min="14" max="15" width="7.5" style="2" bestFit="1" customWidth="1"/>
    <col min="16" max="17" width="7.83203125" style="2" bestFit="1" customWidth="1"/>
    <col min="18" max="18" width="14.6640625" style="1926" customWidth="1"/>
    <col min="19" max="19" width="24.33203125" style="2" bestFit="1" customWidth="1"/>
    <col min="20" max="20" width="34.5" style="2" bestFit="1" customWidth="1"/>
    <col min="21" max="21" width="10.33203125" style="2" bestFit="1" customWidth="1"/>
    <col min="22" max="16384" width="8.83203125" style="2"/>
  </cols>
  <sheetData>
    <row r="1" spans="1:21" s="1683" customFormat="1" ht="24" x14ac:dyDescent="0.2">
      <c r="A1" s="1912"/>
      <c r="B1" s="2289" t="s">
        <v>725</v>
      </c>
      <c r="C1" s="2289"/>
      <c r="D1" s="2289"/>
      <c r="E1" s="2289"/>
      <c r="F1" s="2289"/>
      <c r="G1" s="2289"/>
      <c r="H1" s="2289"/>
      <c r="I1" s="2289"/>
      <c r="J1" s="2289"/>
      <c r="K1" s="2289"/>
      <c r="L1" s="2289"/>
      <c r="M1" s="2289"/>
      <c r="N1" s="2289"/>
      <c r="O1" s="2289"/>
      <c r="P1" s="2289"/>
      <c r="Q1" s="2289"/>
      <c r="R1" s="2042"/>
    </row>
    <row r="2" spans="1:21" ht="15.5" customHeight="1" x14ac:dyDescent="0.2">
      <c r="B2" s="2447" t="s">
        <v>27</v>
      </c>
      <c r="C2" s="2447"/>
      <c r="D2" s="2447"/>
      <c r="E2" s="2447"/>
      <c r="F2" s="2447"/>
      <c r="G2" s="2447"/>
      <c r="H2" s="2447"/>
      <c r="I2" s="2447"/>
      <c r="J2" s="2447"/>
      <c r="K2" s="2447"/>
      <c r="L2" s="2447"/>
      <c r="M2" s="2447"/>
      <c r="N2" s="2447"/>
      <c r="O2" s="2447"/>
      <c r="P2" s="2447"/>
      <c r="Q2" s="2447"/>
    </row>
    <row r="3" spans="1:21" ht="15.5" customHeight="1" x14ac:dyDescent="0.2">
      <c r="B3" s="2447"/>
      <c r="C3" s="2447"/>
      <c r="D3" s="2447"/>
      <c r="E3" s="2447"/>
      <c r="F3" s="2447"/>
      <c r="G3" s="2447"/>
      <c r="H3" s="2447"/>
      <c r="I3" s="2447"/>
      <c r="J3" s="2447"/>
      <c r="K3" s="2447"/>
      <c r="L3" s="2447"/>
      <c r="M3" s="2447"/>
      <c r="N3" s="2447"/>
      <c r="O3" s="2447"/>
      <c r="P3" s="2447"/>
      <c r="Q3" s="2447"/>
    </row>
    <row r="4" spans="1:21" x14ac:dyDescent="0.2">
      <c r="B4" s="699"/>
      <c r="C4" s="295" t="s">
        <v>809</v>
      </c>
      <c r="D4" s="170">
        <v>2012</v>
      </c>
      <c r="E4" s="170">
        <v>2013</v>
      </c>
      <c r="F4" s="170">
        <v>2014</v>
      </c>
      <c r="G4" s="170">
        <v>2015</v>
      </c>
      <c r="H4" s="170">
        <v>2016</v>
      </c>
      <c r="I4" s="170">
        <v>2017</v>
      </c>
      <c r="J4" s="170">
        <v>2018</v>
      </c>
      <c r="K4" s="170">
        <v>2019</v>
      </c>
      <c r="L4" s="170">
        <v>2020</v>
      </c>
      <c r="M4" s="170">
        <v>2021</v>
      </c>
      <c r="N4" s="2337" t="s">
        <v>481</v>
      </c>
      <c r="O4" s="2337"/>
      <c r="P4" s="2337"/>
      <c r="Q4" s="1477" t="s">
        <v>519</v>
      </c>
    </row>
    <row r="5" spans="1:21" x14ac:dyDescent="0.2">
      <c r="B5" s="699"/>
      <c r="C5" s="295"/>
      <c r="D5" s="170"/>
      <c r="E5" s="170"/>
      <c r="F5" s="170"/>
      <c r="G5" s="170"/>
      <c r="H5" s="170"/>
      <c r="I5" s="170"/>
      <c r="J5" s="170"/>
      <c r="K5" s="170"/>
      <c r="L5" s="170"/>
      <c r="M5" s="170"/>
      <c r="N5" s="170">
        <v>2022</v>
      </c>
      <c r="O5" s="170">
        <v>2023</v>
      </c>
      <c r="P5" s="170">
        <v>2024</v>
      </c>
      <c r="Q5" s="170">
        <v>2025</v>
      </c>
    </row>
    <row r="6" spans="1:21" x14ac:dyDescent="0.2">
      <c r="B6" s="662" t="s">
        <v>807</v>
      </c>
      <c r="C6" s="110"/>
      <c r="D6" s="110">
        <v>126</v>
      </c>
      <c r="E6" s="110">
        <v>91</v>
      </c>
      <c r="F6" s="110">
        <v>134</v>
      </c>
      <c r="G6" s="111"/>
      <c r="H6" s="111">
        <v>0</v>
      </c>
      <c r="I6" s="6">
        <v>3</v>
      </c>
      <c r="J6" s="82">
        <v>27.34</v>
      </c>
      <c r="K6" s="670"/>
      <c r="L6" s="670"/>
      <c r="M6" s="670"/>
      <c r="N6" s="1008"/>
      <c r="O6" s="670"/>
      <c r="P6" s="670"/>
      <c r="Q6" s="670"/>
    </row>
    <row r="7" spans="1:21" ht="14.5" customHeight="1" x14ac:dyDescent="0.2">
      <c r="B7" s="1537" t="s">
        <v>808</v>
      </c>
      <c r="C7" s="698">
        <v>21</v>
      </c>
      <c r="D7" s="170"/>
      <c r="E7" s="170"/>
      <c r="F7" s="170"/>
      <c r="G7" s="170"/>
      <c r="H7" s="170"/>
      <c r="I7" s="170"/>
      <c r="J7" s="170"/>
      <c r="K7" s="700">
        <v>1281</v>
      </c>
      <c r="L7" s="1642" t="s">
        <v>940</v>
      </c>
      <c r="M7" s="1268">
        <v>1365</v>
      </c>
      <c r="N7" s="1227">
        <v>1344</v>
      </c>
      <c r="O7" s="1268"/>
      <c r="P7" s="1268">
        <v>1344</v>
      </c>
      <c r="Q7" s="1268"/>
      <c r="R7" s="14"/>
      <c r="S7" s="2017"/>
    </row>
    <row r="8" spans="1:21" x14ac:dyDescent="0.2">
      <c r="B8" s="1537" t="s">
        <v>810</v>
      </c>
      <c r="C8" s="295"/>
      <c r="D8" s="170"/>
      <c r="E8" s="170"/>
      <c r="F8" s="170"/>
      <c r="G8" s="170"/>
      <c r="H8" s="170"/>
      <c r="I8" s="170"/>
      <c r="J8" s="170"/>
      <c r="K8" s="808">
        <v>-1189.5</v>
      </c>
      <c r="L8" s="1642"/>
      <c r="M8" s="1268">
        <v>-1167.5</v>
      </c>
      <c r="N8" s="1227">
        <v>-1148</v>
      </c>
      <c r="O8" s="1268"/>
      <c r="P8" s="1227">
        <v>-1219</v>
      </c>
      <c r="Q8" s="1268"/>
      <c r="R8" s="2043">
        <v>45585</v>
      </c>
      <c r="S8" s="1021" t="s">
        <v>1170</v>
      </c>
      <c r="T8" s="1021" t="s">
        <v>1199</v>
      </c>
      <c r="U8" s="2022">
        <v>-70</v>
      </c>
    </row>
    <row r="9" spans="1:21" x14ac:dyDescent="0.2">
      <c r="B9" s="1537" t="s">
        <v>942</v>
      </c>
      <c r="C9" s="295"/>
      <c r="D9" s="170"/>
      <c r="E9" s="170"/>
      <c r="F9" s="170"/>
      <c r="G9" s="170"/>
      <c r="H9" s="170"/>
      <c r="I9" s="170"/>
      <c r="J9" s="170"/>
      <c r="K9" s="808"/>
      <c r="L9" s="1642"/>
      <c r="M9" s="1268">
        <v>-100</v>
      </c>
      <c r="N9" s="1227">
        <v>-100</v>
      </c>
      <c r="O9" s="1268"/>
      <c r="P9" s="1268">
        <v>100</v>
      </c>
      <c r="Q9" s="1268"/>
      <c r="R9" s="2044">
        <v>45586</v>
      </c>
      <c r="S9" s="1311" t="s">
        <v>1170</v>
      </c>
      <c r="T9" s="1311" t="s">
        <v>1200</v>
      </c>
      <c r="U9" s="2045">
        <v>265</v>
      </c>
    </row>
    <row r="10" spans="1:21" x14ac:dyDescent="0.2">
      <c r="B10" s="1537" t="s">
        <v>806</v>
      </c>
      <c r="C10" s="295"/>
      <c r="D10" s="170"/>
      <c r="E10" s="170"/>
      <c r="F10" s="170"/>
      <c r="G10" s="170"/>
      <c r="H10" s="170"/>
      <c r="I10" s="170"/>
      <c r="J10" s="170"/>
      <c r="K10" s="700">
        <v>-65</v>
      </c>
      <c r="L10" s="1642"/>
      <c r="M10" s="1268">
        <v>-70</v>
      </c>
      <c r="N10" s="1227">
        <v>-70</v>
      </c>
      <c r="O10" s="1268"/>
      <c r="P10" s="1227">
        <v>-70</v>
      </c>
      <c r="Q10" s="1268"/>
      <c r="R10" s="2043">
        <v>45586</v>
      </c>
      <c r="S10" s="1021" t="s">
        <v>1170</v>
      </c>
      <c r="T10" s="1021" t="s">
        <v>1201</v>
      </c>
      <c r="U10" s="2046">
        <v>1344</v>
      </c>
    </row>
    <row r="11" spans="1:21" x14ac:dyDescent="0.2">
      <c r="B11" s="1537" t="s">
        <v>195</v>
      </c>
      <c r="C11" s="295"/>
      <c r="D11" s="170"/>
      <c r="E11" s="170"/>
      <c r="F11" s="170"/>
      <c r="G11" s="170"/>
      <c r="H11" s="170"/>
      <c r="I11" s="170"/>
      <c r="J11" s="170"/>
      <c r="K11" s="700">
        <v>225</v>
      </c>
      <c r="L11" s="1642"/>
      <c r="M11" s="1268">
        <v>281</v>
      </c>
      <c r="N11" s="1227">
        <v>278</v>
      </c>
      <c r="O11" s="1268"/>
      <c r="P11" s="1268">
        <v>265</v>
      </c>
      <c r="Q11" s="1268"/>
      <c r="R11" s="2044">
        <v>45588</v>
      </c>
      <c r="S11" s="1311" t="s">
        <v>1170</v>
      </c>
      <c r="T11" s="1311" t="s">
        <v>1202</v>
      </c>
      <c r="U11" s="2021">
        <v>-1119</v>
      </c>
    </row>
    <row r="12" spans="1:21" x14ac:dyDescent="0.2">
      <c r="B12" s="1537" t="s">
        <v>941</v>
      </c>
      <c r="C12" s="295"/>
      <c r="D12" s="170"/>
      <c r="E12" s="170"/>
      <c r="F12" s="170"/>
      <c r="G12" s="170"/>
      <c r="H12" s="170"/>
      <c r="I12" s="170"/>
      <c r="J12" s="170"/>
      <c r="K12" s="700"/>
      <c r="L12" s="1642"/>
      <c r="M12" s="1268">
        <v>-31</v>
      </c>
      <c r="N12" s="1227"/>
      <c r="O12" s="1268"/>
      <c r="P12" s="1268"/>
      <c r="Q12" s="1268"/>
      <c r="R12" s="2043">
        <v>45632</v>
      </c>
      <c r="S12" s="1021" t="s">
        <v>1203</v>
      </c>
      <c r="T12" s="1021" t="s">
        <v>1203</v>
      </c>
      <c r="U12" s="2022">
        <v>-420</v>
      </c>
    </row>
    <row r="13" spans="1:21" ht="16" thickBot="1" x14ac:dyDescent="0.25">
      <c r="B13" s="1537" t="s">
        <v>811</v>
      </c>
      <c r="C13" s="295"/>
      <c r="D13" s="170"/>
      <c r="E13" s="170"/>
      <c r="F13" s="170"/>
      <c r="G13" s="170"/>
      <c r="H13" s="170"/>
      <c r="I13" s="170"/>
      <c r="J13" s="170"/>
      <c r="K13" s="808">
        <v>-251.5</v>
      </c>
      <c r="L13" s="1642"/>
      <c r="M13" s="1268">
        <v>-277.5</v>
      </c>
      <c r="N13" s="1227">
        <f>-278-26</f>
        <v>-304</v>
      </c>
      <c r="O13" s="1268">
        <v>-359</v>
      </c>
      <c r="P13" s="1227">
        <v>-420</v>
      </c>
      <c r="Q13" s="1268"/>
      <c r="R13" s="2047"/>
      <c r="S13" s="2024"/>
      <c r="T13" s="60"/>
      <c r="U13" s="2048">
        <f>SUM(U8:U12)</f>
        <v>0</v>
      </c>
    </row>
    <row r="14" spans="1:21" ht="16" thickTop="1" x14ac:dyDescent="0.2">
      <c r="B14" s="1537" t="s">
        <v>1028</v>
      </c>
      <c r="C14" s="295"/>
      <c r="D14" s="170"/>
      <c r="E14" s="170"/>
      <c r="F14" s="170"/>
      <c r="G14" s="170"/>
      <c r="H14" s="170"/>
      <c r="I14" s="170"/>
      <c r="J14" s="170"/>
      <c r="K14" s="808"/>
      <c r="L14" s="1643"/>
      <c r="M14" s="1268"/>
      <c r="N14" s="1227"/>
      <c r="O14" s="1268"/>
      <c r="P14" s="1268"/>
      <c r="Q14" s="1268"/>
      <c r="R14" s="14"/>
      <c r="S14" s="2017"/>
    </row>
    <row r="15" spans="1:21" x14ac:dyDescent="0.2">
      <c r="B15" s="1537" t="s">
        <v>1065</v>
      </c>
      <c r="C15" s="295"/>
      <c r="D15" s="170"/>
      <c r="E15" s="170"/>
      <c r="F15" s="170"/>
      <c r="G15" s="170"/>
      <c r="H15" s="170"/>
      <c r="I15" s="170"/>
      <c r="J15" s="170"/>
      <c r="K15" s="808"/>
      <c r="L15" s="1643"/>
      <c r="M15" s="1268"/>
      <c r="N15" s="1227">
        <v>-100</v>
      </c>
      <c r="O15" s="1268"/>
      <c r="P15" s="1268"/>
      <c r="Q15" s="1268"/>
    </row>
    <row r="16" spans="1:21" x14ac:dyDescent="0.2">
      <c r="B16" s="699"/>
      <c r="C16" s="295"/>
      <c r="D16" s="170"/>
      <c r="E16" s="170"/>
      <c r="F16" s="170"/>
      <c r="G16" s="170"/>
      <c r="H16" s="170"/>
      <c r="I16" s="170"/>
      <c r="J16" s="170"/>
      <c r="K16" s="808"/>
      <c r="L16" s="1643"/>
      <c r="M16" s="1268"/>
      <c r="N16" s="1227"/>
      <c r="O16" s="1268">
        <v>359</v>
      </c>
      <c r="P16" s="1268"/>
      <c r="Q16" s="1268"/>
    </row>
    <row r="17" spans="2:21" x14ac:dyDescent="0.2">
      <c r="B17" s="699"/>
      <c r="C17" s="295"/>
      <c r="D17" s="170"/>
      <c r="E17" s="170"/>
      <c r="F17" s="170"/>
      <c r="G17" s="170"/>
      <c r="H17" s="170"/>
      <c r="I17" s="170"/>
      <c r="J17" s="170"/>
      <c r="K17" s="808"/>
      <c r="L17" s="1643"/>
      <c r="M17" s="1268"/>
      <c r="N17" s="1227"/>
      <c r="O17" s="1268"/>
      <c r="P17" s="1268"/>
      <c r="Q17" s="1268"/>
    </row>
    <row r="18" spans="2:21" x14ac:dyDescent="0.2">
      <c r="B18" s="699"/>
      <c r="C18" s="295"/>
      <c r="D18" s="170"/>
      <c r="E18" s="170"/>
      <c r="F18" s="170"/>
      <c r="G18" s="170"/>
      <c r="H18" s="170"/>
      <c r="I18" s="170"/>
      <c r="J18" s="170"/>
      <c r="K18" s="808"/>
      <c r="L18" s="1643"/>
      <c r="M18" s="1268"/>
      <c r="N18" s="1227"/>
      <c r="O18" s="1268"/>
      <c r="P18" s="1268"/>
      <c r="Q18" s="1268"/>
    </row>
    <row r="19" spans="2:21" x14ac:dyDescent="0.2">
      <c r="B19" s="699"/>
      <c r="C19" s="295"/>
      <c r="D19" s="170"/>
      <c r="E19" s="170"/>
      <c r="F19" s="170"/>
      <c r="G19" s="170"/>
      <c r="H19" s="170"/>
      <c r="I19" s="170"/>
      <c r="J19" s="170"/>
      <c r="K19" s="808"/>
      <c r="L19" s="1643"/>
      <c r="M19" s="1268"/>
      <c r="N19" s="1227"/>
      <c r="O19" s="1268"/>
      <c r="P19" s="1268"/>
      <c r="Q19" s="1268"/>
    </row>
    <row r="20" spans="2:21" ht="16" x14ac:dyDescent="0.2">
      <c r="B20" s="699"/>
      <c r="C20" s="295"/>
      <c r="D20" s="170"/>
      <c r="E20" s="170"/>
      <c r="F20" s="170"/>
      <c r="G20" s="170"/>
      <c r="H20" s="170"/>
      <c r="I20" s="170"/>
      <c r="J20" s="170"/>
      <c r="K20" s="808"/>
      <c r="L20" s="1643"/>
      <c r="M20" s="1268"/>
      <c r="N20" s="1227"/>
      <c r="O20" s="1268"/>
      <c r="P20" s="1268"/>
      <c r="Q20" s="1644">
        <v>0</v>
      </c>
      <c r="R20" s="2049" t="s">
        <v>565</v>
      </c>
    </row>
    <row r="21" spans="2:21" ht="17" thickBot="1" x14ac:dyDescent="0.25">
      <c r="B21" s="1645"/>
      <c r="C21" s="871"/>
      <c r="D21" s="1646">
        <f>SUM(D6:D20)</f>
        <v>126</v>
      </c>
      <c r="E21" s="1646">
        <f t="shared" ref="E21:P21" si="0">SUM(E6:E20)</f>
        <v>91</v>
      </c>
      <c r="F21" s="1646">
        <f t="shared" si="0"/>
        <v>134</v>
      </c>
      <c r="G21" s="1646">
        <f t="shared" si="0"/>
        <v>0</v>
      </c>
      <c r="H21" s="1646">
        <f t="shared" si="0"/>
        <v>0</v>
      </c>
      <c r="I21" s="1646">
        <f t="shared" si="0"/>
        <v>3</v>
      </c>
      <c r="J21" s="1646">
        <f t="shared" si="0"/>
        <v>27.34</v>
      </c>
      <c r="K21" s="1646">
        <f t="shared" si="0"/>
        <v>0</v>
      </c>
      <c r="L21" s="1646">
        <f t="shared" si="0"/>
        <v>0</v>
      </c>
      <c r="M21" s="1646">
        <f t="shared" si="0"/>
        <v>0</v>
      </c>
      <c r="N21" s="1646">
        <f t="shared" si="0"/>
        <v>-100</v>
      </c>
      <c r="O21" s="1647">
        <f t="shared" si="0"/>
        <v>0</v>
      </c>
      <c r="P21" s="1647">
        <f t="shared" si="0"/>
        <v>0</v>
      </c>
      <c r="Q21" s="1633">
        <f>SUM(Q6:Q20)</f>
        <v>0</v>
      </c>
      <c r="R21" s="2050" t="s">
        <v>1204</v>
      </c>
      <c r="S21" s="2049"/>
      <c r="T21" s="2049"/>
      <c r="U21" s="2049"/>
    </row>
    <row r="22" spans="2:21" ht="16" thickTop="1" x14ac:dyDescent="0.2"/>
  </sheetData>
  <mergeCells count="3">
    <mergeCell ref="N4:P4"/>
    <mergeCell ref="B1:Q1"/>
    <mergeCell ref="B2:Q3"/>
  </mergeCells>
  <conditionalFormatting sqref="A1:B1 N5:P7 B21:N21">
    <cfRule type="cellIs" dxfId="98" priority="10" operator="equal">
      <formula>0</formula>
    </cfRule>
  </conditionalFormatting>
  <conditionalFormatting sqref="B6:H6">
    <cfRule type="cellIs" dxfId="97" priority="8" operator="equal">
      <formula>0</formula>
    </cfRule>
  </conditionalFormatting>
  <conditionalFormatting sqref="B4:J5 B7:J20">
    <cfRule type="cellIs" dxfId="96" priority="11" operator="equal">
      <formula>0</formula>
    </cfRule>
  </conditionalFormatting>
  <conditionalFormatting sqref="K4:K20">
    <cfRule type="cellIs" dxfId="95" priority="12" operator="equal">
      <formula>0</formula>
    </cfRule>
  </conditionalFormatting>
  <conditionalFormatting sqref="L4:M7">
    <cfRule type="cellIs" dxfId="94" priority="6" operator="equal">
      <formula>0</formula>
    </cfRule>
  </conditionalFormatting>
  <conditionalFormatting sqref="Q4:Q7">
    <cfRule type="cellIs" dxfId="93" priority="3" operator="equal">
      <formula>0</formula>
    </cfRule>
  </conditionalFormatting>
  <hyperlinks>
    <hyperlink ref="B1" location="Summary!A1" display="Summary!A1" xr:uid="{C0DA268F-6142-459E-8BEA-AC053CF97FED}"/>
    <hyperlink ref="Q21" location="Summary!T37" display="Summary!T37" xr:uid="{6E5EA314-0D3E-42F8-A3D9-21F076F434D5}"/>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FF00"/>
  </sheetPr>
  <dimension ref="A1:S34"/>
  <sheetViews>
    <sheetView zoomScaleNormal="100" zoomScaleSheetLayoutView="100" workbookViewId="0">
      <pane xSplit="2" ySplit="5" topLeftCell="J6" activePane="bottomRight" state="frozen"/>
      <selection activeCell="L17" sqref="L17"/>
      <selection pane="topRight" activeCell="L17" sqref="L17"/>
      <selection pane="bottomLeft" activeCell="L17" sqref="L17"/>
      <selection pane="bottomRight" activeCell="L17" sqref="L17"/>
    </sheetView>
  </sheetViews>
  <sheetFormatPr baseColWidth="10" defaultColWidth="8.83203125" defaultRowHeight="15" x14ac:dyDescent="0.2"/>
  <cols>
    <col min="1" max="1" width="2.83203125" style="14" customWidth="1"/>
    <col min="2" max="2" width="19.83203125" style="14" bestFit="1" customWidth="1"/>
    <col min="3" max="8" width="7.83203125" style="14" hidden="1" customWidth="1"/>
    <col min="9" max="9" width="6.5" style="14" hidden="1" customWidth="1"/>
    <col min="10" max="10" width="7.83203125" style="14" customWidth="1"/>
    <col min="11" max="12" width="7.83203125" style="14" bestFit="1" customWidth="1"/>
    <col min="13" max="13" width="7.83203125" style="14" customWidth="1"/>
    <col min="14" max="14" width="9.6640625" style="14" customWidth="1"/>
    <col min="15" max="15" width="8.83203125" style="14"/>
    <col min="16" max="16" width="10.5" style="14" bestFit="1" customWidth="1"/>
    <col min="17" max="17" width="23.1640625" style="14" bestFit="1" customWidth="1"/>
    <col min="18" max="18" width="29.33203125" style="14" bestFit="1" customWidth="1"/>
    <col min="19" max="19" width="10.33203125" style="2055" bestFit="1" customWidth="1"/>
    <col min="20" max="16384" width="8.83203125" style="14"/>
  </cols>
  <sheetData>
    <row r="1" spans="1:19" s="1909" customFormat="1" ht="24" x14ac:dyDescent="0.2">
      <c r="A1" s="1912"/>
      <c r="B1" s="2289" t="s">
        <v>725</v>
      </c>
      <c r="C1" s="2289"/>
      <c r="D1" s="2289"/>
      <c r="E1" s="2289"/>
      <c r="F1" s="2289"/>
      <c r="G1" s="2289"/>
      <c r="H1" s="2289"/>
      <c r="I1" s="2289"/>
      <c r="J1" s="2289"/>
      <c r="K1" s="2289"/>
      <c r="L1" s="2289"/>
      <c r="M1" s="2289"/>
      <c r="N1" s="2289"/>
      <c r="P1" s="2006">
        <v>45411</v>
      </c>
      <c r="Q1" s="2007" t="s">
        <v>1170</v>
      </c>
      <c r="R1" s="2007" t="s">
        <v>1205</v>
      </c>
      <c r="S1" s="2051">
        <v>-480</v>
      </c>
    </row>
    <row r="2" spans="1:19" ht="16" x14ac:dyDescent="0.2">
      <c r="B2" s="2450" t="s">
        <v>193</v>
      </c>
      <c r="C2" s="2451"/>
      <c r="D2" s="2451"/>
      <c r="E2" s="2451"/>
      <c r="F2" s="2451"/>
      <c r="G2" s="2451"/>
      <c r="H2" s="2451"/>
      <c r="I2" s="2451"/>
      <c r="J2" s="2451"/>
      <c r="K2" s="2451"/>
      <c r="L2" s="2451"/>
      <c r="M2" s="2451"/>
      <c r="N2" s="2452"/>
      <c r="P2" s="2004">
        <v>45411</v>
      </c>
      <c r="Q2" s="1258" t="s">
        <v>101</v>
      </c>
      <c r="R2" s="1258" t="s">
        <v>1206</v>
      </c>
      <c r="S2" s="2052">
        <v>8</v>
      </c>
    </row>
    <row r="3" spans="1:19" x14ac:dyDescent="0.2">
      <c r="B3" s="73"/>
      <c r="C3" s="35">
        <v>41760</v>
      </c>
      <c r="D3" s="35">
        <v>42125</v>
      </c>
      <c r="E3" s="36">
        <v>42491</v>
      </c>
      <c r="F3" s="36">
        <v>42856</v>
      </c>
      <c r="G3" s="8">
        <v>2018</v>
      </c>
      <c r="H3" s="8">
        <v>2019</v>
      </c>
      <c r="I3" s="8">
        <v>2020</v>
      </c>
      <c r="J3" s="2294" t="s">
        <v>481</v>
      </c>
      <c r="K3" s="2295"/>
      <c r="L3" s="2295"/>
      <c r="M3" s="2296"/>
      <c r="N3" s="1473" t="s">
        <v>519</v>
      </c>
      <c r="P3" s="2006">
        <v>45432</v>
      </c>
      <c r="Q3" s="2007" t="s">
        <v>1207</v>
      </c>
      <c r="R3" s="2007" t="s">
        <v>1208</v>
      </c>
      <c r="S3" s="2051">
        <v>-1895.92</v>
      </c>
    </row>
    <row r="4" spans="1:19" ht="16" x14ac:dyDescent="0.2">
      <c r="B4" s="823" t="s">
        <v>998</v>
      </c>
      <c r="C4" s="1269" t="s">
        <v>481</v>
      </c>
      <c r="D4" s="1270"/>
      <c r="E4" s="1270"/>
      <c r="F4" s="1270"/>
      <c r="G4" s="1270"/>
      <c r="H4" s="1270"/>
      <c r="I4" s="1270"/>
      <c r="J4" s="8">
        <v>2021</v>
      </c>
      <c r="K4" s="1016">
        <v>2022</v>
      </c>
      <c r="L4" s="411">
        <v>2023</v>
      </c>
      <c r="M4" s="411">
        <v>2024</v>
      </c>
      <c r="N4" s="8">
        <v>2025</v>
      </c>
      <c r="P4" s="2004">
        <v>45433</v>
      </c>
      <c r="Q4" s="1258" t="s">
        <v>134</v>
      </c>
      <c r="R4" s="1258" t="s">
        <v>1209</v>
      </c>
      <c r="S4" s="2052">
        <v>3</v>
      </c>
    </row>
    <row r="5" spans="1:19" x14ac:dyDescent="0.2">
      <c r="B5" s="73" t="s">
        <v>29</v>
      </c>
      <c r="C5" s="783">
        <v>2194.8599999999997</v>
      </c>
      <c r="D5" s="783">
        <f>1965.9+127.1+8</f>
        <v>2101</v>
      </c>
      <c r="E5" s="784">
        <v>2319.4299999999998</v>
      </c>
      <c r="F5" s="784">
        <v>2266</v>
      </c>
      <c r="G5" s="784">
        <v>1937.07</v>
      </c>
      <c r="H5" s="114">
        <v>1826.5</v>
      </c>
      <c r="I5" s="785"/>
      <c r="J5" s="784">
        <v>1637.12</v>
      </c>
      <c r="K5" s="785">
        <v>3314.1</v>
      </c>
      <c r="L5" s="2453">
        <v>2036</v>
      </c>
      <c r="M5" s="1271">
        <v>-1895.92</v>
      </c>
      <c r="N5" s="783"/>
      <c r="P5" s="2006">
        <v>45433</v>
      </c>
      <c r="Q5" s="2007" t="s">
        <v>71</v>
      </c>
      <c r="R5" s="2007" t="s">
        <v>1210</v>
      </c>
      <c r="S5" s="2051">
        <v>4.5</v>
      </c>
    </row>
    <row r="6" spans="1:19" x14ac:dyDescent="0.2">
      <c r="B6" s="73" t="s">
        <v>182</v>
      </c>
      <c r="C6" s="783">
        <v>-1170.6500000000001</v>
      </c>
      <c r="D6" s="783">
        <v>-1186.25</v>
      </c>
      <c r="E6" s="784">
        <v>-1359.75</v>
      </c>
      <c r="F6" s="784">
        <v>-1394</v>
      </c>
      <c r="G6" s="784">
        <v>-1192.2</v>
      </c>
      <c r="H6" s="114">
        <v>-1197.54</v>
      </c>
      <c r="I6" s="786"/>
      <c r="J6" s="784">
        <v>-951.48</v>
      </c>
      <c r="K6" s="786">
        <v>-1823.32</v>
      </c>
      <c r="L6" s="2454"/>
      <c r="M6" s="1271">
        <v>3810.82</v>
      </c>
      <c r="N6" s="783"/>
      <c r="P6" s="2004">
        <v>45433</v>
      </c>
      <c r="Q6" s="1258" t="s">
        <v>71</v>
      </c>
      <c r="R6" s="1258" t="s">
        <v>1211</v>
      </c>
      <c r="S6" s="2052">
        <v>5</v>
      </c>
    </row>
    <row r="7" spans="1:19" x14ac:dyDescent="0.2">
      <c r="B7" s="73" t="s">
        <v>812</v>
      </c>
      <c r="C7" s="783"/>
      <c r="D7" s="783">
        <v>59.06</v>
      </c>
      <c r="E7" s="784"/>
      <c r="F7" s="784"/>
      <c r="G7" s="784"/>
      <c r="H7" s="114">
        <v>120</v>
      </c>
      <c r="I7" s="786"/>
      <c r="J7" s="784"/>
      <c r="K7" s="786"/>
      <c r="L7" s="2454"/>
      <c r="M7" s="1271"/>
      <c r="N7" s="783"/>
      <c r="P7" s="2006">
        <v>45433</v>
      </c>
      <c r="Q7" s="2007" t="s">
        <v>101</v>
      </c>
      <c r="R7" s="2007" t="s">
        <v>1212</v>
      </c>
      <c r="S7" s="2051">
        <v>6</v>
      </c>
    </row>
    <row r="8" spans="1:19" x14ac:dyDescent="0.2">
      <c r="B8" s="73" t="s">
        <v>194</v>
      </c>
      <c r="C8" s="783"/>
      <c r="D8" s="783">
        <v>140</v>
      </c>
      <c r="E8" s="784"/>
      <c r="F8" s="784"/>
      <c r="G8" s="784"/>
      <c r="H8" s="114">
        <v>155.5</v>
      </c>
      <c r="I8" s="786"/>
      <c r="J8" s="784"/>
      <c r="K8" s="786"/>
      <c r="L8" s="2454"/>
      <c r="M8" s="1271"/>
      <c r="N8" s="783"/>
      <c r="P8" s="2004">
        <v>45433</v>
      </c>
      <c r="Q8" s="1258" t="s">
        <v>1139</v>
      </c>
      <c r="R8" s="1258" t="s">
        <v>1211</v>
      </c>
      <c r="S8" s="2052">
        <v>8</v>
      </c>
    </row>
    <row r="9" spans="1:19" x14ac:dyDescent="0.2">
      <c r="B9" s="73" t="s">
        <v>195</v>
      </c>
      <c r="C9" s="783"/>
      <c r="D9" s="783">
        <v>160</v>
      </c>
      <c r="E9" s="784">
        <v>180</v>
      </c>
      <c r="F9" s="784">
        <v>200</v>
      </c>
      <c r="G9" s="784"/>
      <c r="H9" s="114">
        <v>155</v>
      </c>
      <c r="I9" s="786"/>
      <c r="J9" s="784"/>
      <c r="K9" s="786"/>
      <c r="L9" s="2454"/>
      <c r="M9" s="1271"/>
      <c r="N9" s="783"/>
      <c r="P9" s="2006">
        <v>45433</v>
      </c>
      <c r="Q9" s="2007" t="s">
        <v>120</v>
      </c>
      <c r="R9" s="2007" t="s">
        <v>1209</v>
      </c>
      <c r="S9" s="2051">
        <v>11</v>
      </c>
    </row>
    <row r="10" spans="1:19" x14ac:dyDescent="0.2">
      <c r="B10" s="73" t="s">
        <v>168</v>
      </c>
      <c r="C10" s="783">
        <v>-1.91</v>
      </c>
      <c r="D10" s="783">
        <v>-0.89</v>
      </c>
      <c r="E10" s="784">
        <v>-5</v>
      </c>
      <c r="F10" s="784"/>
      <c r="G10" s="784"/>
      <c r="H10" s="114"/>
      <c r="I10" s="786"/>
      <c r="J10" s="784"/>
      <c r="K10" s="786"/>
      <c r="L10" s="2454"/>
      <c r="M10" s="1271"/>
      <c r="N10" s="783"/>
      <c r="P10" s="2004">
        <v>45433</v>
      </c>
      <c r="Q10" s="1258" t="s">
        <v>114</v>
      </c>
      <c r="R10" s="1258" t="s">
        <v>1213</v>
      </c>
      <c r="S10" s="2052">
        <v>12</v>
      </c>
    </row>
    <row r="11" spans="1:19" x14ac:dyDescent="0.2">
      <c r="B11" s="73" t="s">
        <v>196</v>
      </c>
      <c r="C11" s="783">
        <v>-21.36</v>
      </c>
      <c r="D11" s="783">
        <v>-27.9</v>
      </c>
      <c r="E11" s="784">
        <v>-23.04</v>
      </c>
      <c r="F11" s="784">
        <v>-24</v>
      </c>
      <c r="G11" s="784">
        <v>-19</v>
      </c>
      <c r="H11" s="114">
        <v>-51</v>
      </c>
      <c r="I11" s="786"/>
      <c r="J11" s="784"/>
      <c r="K11" s="786"/>
      <c r="L11" s="2454"/>
      <c r="M11" s="1271"/>
      <c r="N11" s="783"/>
      <c r="P11" s="2006">
        <v>45433</v>
      </c>
      <c r="Q11" s="2007" t="s">
        <v>109</v>
      </c>
      <c r="R11" s="2007" t="s">
        <v>1211</v>
      </c>
      <c r="S11" s="2051">
        <v>15</v>
      </c>
    </row>
    <row r="12" spans="1:19" x14ac:dyDescent="0.2">
      <c r="B12" s="73" t="s">
        <v>676</v>
      </c>
      <c r="C12" s="783"/>
      <c r="D12" s="783"/>
      <c r="E12" s="784"/>
      <c r="F12" s="784"/>
      <c r="G12" s="784">
        <v>-60</v>
      </c>
      <c r="H12" s="114"/>
      <c r="I12" s="786"/>
      <c r="J12" s="784"/>
      <c r="K12" s="786"/>
      <c r="L12" s="2454"/>
      <c r="M12" s="1271"/>
      <c r="N12" s="783"/>
      <c r="P12" s="2004">
        <v>45433</v>
      </c>
      <c r="Q12" s="1258" t="s">
        <v>71</v>
      </c>
      <c r="R12" s="1258" t="s">
        <v>1209</v>
      </c>
      <c r="S12" s="2052">
        <v>20</v>
      </c>
    </row>
    <row r="13" spans="1:19" x14ac:dyDescent="0.2">
      <c r="B13" s="73" t="s">
        <v>575</v>
      </c>
      <c r="C13" s="783"/>
      <c r="D13" s="783"/>
      <c r="E13" s="784"/>
      <c r="F13" s="784"/>
      <c r="G13" s="784"/>
      <c r="H13" s="114"/>
      <c r="I13" s="786"/>
      <c r="J13" s="784">
        <v>25</v>
      </c>
      <c r="K13" s="786"/>
      <c r="L13" s="2454"/>
      <c r="M13" s="1271"/>
      <c r="N13" s="783"/>
      <c r="P13" s="2006">
        <v>45433</v>
      </c>
      <c r="Q13" s="2007" t="s">
        <v>94</v>
      </c>
      <c r="R13" s="2007" t="s">
        <v>1214</v>
      </c>
      <c r="S13" s="2051">
        <v>20</v>
      </c>
    </row>
    <row r="14" spans="1:19" x14ac:dyDescent="0.2">
      <c r="B14" s="73"/>
      <c r="C14" s="783"/>
      <c r="D14" s="783"/>
      <c r="E14" s="787">
        <f>SUM(E5:E13)</f>
        <v>1111.6399999999999</v>
      </c>
      <c r="F14" s="787"/>
      <c r="G14" s="784"/>
      <c r="H14" s="114"/>
      <c r="I14" s="786"/>
      <c r="J14" s="784"/>
      <c r="K14" s="786"/>
      <c r="L14" s="2454"/>
      <c r="M14" s="1271"/>
      <c r="N14" s="783"/>
      <c r="P14" s="2004">
        <v>45433</v>
      </c>
      <c r="Q14" s="1258" t="s">
        <v>84</v>
      </c>
      <c r="R14" s="1258" t="s">
        <v>1214</v>
      </c>
      <c r="S14" s="2052">
        <v>24</v>
      </c>
    </row>
    <row r="15" spans="1:19" x14ac:dyDescent="0.2">
      <c r="B15" s="73" t="s">
        <v>813</v>
      </c>
      <c r="C15" s="783"/>
      <c r="D15" s="783"/>
      <c r="E15" s="787"/>
      <c r="F15" s="787"/>
      <c r="G15" s="784"/>
      <c r="H15" s="114">
        <v>12</v>
      </c>
      <c r="I15" s="786">
        <v>37</v>
      </c>
      <c r="J15" s="784"/>
      <c r="K15" s="786"/>
      <c r="L15" s="2454"/>
      <c r="M15" s="1271"/>
      <c r="N15" s="783"/>
      <c r="P15" s="2006">
        <v>45433</v>
      </c>
      <c r="Q15" s="2007" t="s">
        <v>101</v>
      </c>
      <c r="R15" s="2007" t="s">
        <v>1209</v>
      </c>
      <c r="S15" s="2051">
        <v>30</v>
      </c>
    </row>
    <row r="16" spans="1:19" x14ac:dyDescent="0.2">
      <c r="B16" s="73" t="s">
        <v>197</v>
      </c>
      <c r="C16" s="783"/>
      <c r="D16" s="783"/>
      <c r="E16" s="784">
        <v>-39.64</v>
      </c>
      <c r="F16" s="784"/>
      <c r="G16" s="784"/>
      <c r="H16" s="114"/>
      <c r="I16" s="786"/>
      <c r="J16" s="784"/>
      <c r="K16" s="786"/>
      <c r="L16" s="2454"/>
      <c r="M16" s="1271"/>
      <c r="N16" s="783"/>
      <c r="P16" s="2004">
        <v>45433</v>
      </c>
      <c r="Q16" s="1258" t="s">
        <v>101</v>
      </c>
      <c r="R16" s="1258" t="s">
        <v>1211</v>
      </c>
      <c r="S16" s="2052">
        <v>32</v>
      </c>
    </row>
    <row r="17" spans="2:19" x14ac:dyDescent="0.2">
      <c r="B17" s="73"/>
      <c r="C17" s="783"/>
      <c r="D17" s="783"/>
      <c r="E17" s="784"/>
      <c r="F17" s="784"/>
      <c r="G17" s="784"/>
      <c r="H17" s="114"/>
      <c r="I17" s="786"/>
      <c r="J17" s="784"/>
      <c r="K17" s="786"/>
      <c r="L17" s="1170"/>
      <c r="M17" s="1271"/>
      <c r="N17" s="1272">
        <v>2000</v>
      </c>
      <c r="P17" s="2006">
        <v>45433</v>
      </c>
      <c r="Q17" s="2007" t="s">
        <v>864</v>
      </c>
      <c r="R17" s="2007" t="s">
        <v>1214</v>
      </c>
      <c r="S17" s="2051">
        <v>40</v>
      </c>
    </row>
    <row r="18" spans="2:19" x14ac:dyDescent="0.2">
      <c r="B18" s="73"/>
      <c r="C18" s="788">
        <f>SUM(C5:C16)</f>
        <v>1000.9399999999996</v>
      </c>
      <c r="D18" s="788">
        <f>SUM(D5:D16)</f>
        <v>1245.0199999999998</v>
      </c>
      <c r="E18" s="788">
        <f>SUM(E14:E16)</f>
        <v>1071.9999999999998</v>
      </c>
      <c r="F18" s="788">
        <f>SUM(F5:F16)</f>
        <v>1048</v>
      </c>
      <c r="G18" s="788">
        <f>SUM(G5:G16)</f>
        <v>665.86999999999989</v>
      </c>
      <c r="H18" s="701">
        <f>SUM(H5:H16)</f>
        <v>1020.46</v>
      </c>
      <c r="I18" s="701">
        <f t="shared" ref="I18" si="0">SUM(I5:I16)</f>
        <v>37</v>
      </c>
      <c r="J18" s="782">
        <f t="shared" ref="J18:M18" si="1">SUM(J5:J16)</f>
        <v>710.63999999999987</v>
      </c>
      <c r="K18" s="682">
        <f t="shared" si="1"/>
        <v>1490.78</v>
      </c>
      <c r="L18" s="682">
        <f t="shared" si="1"/>
        <v>2036</v>
      </c>
      <c r="M18" s="682">
        <f t="shared" si="1"/>
        <v>1914.9</v>
      </c>
      <c r="N18" s="682">
        <f>SUM(N5:N17)</f>
        <v>2000</v>
      </c>
      <c r="P18" s="2004">
        <v>45433</v>
      </c>
      <c r="Q18" s="1258" t="s">
        <v>71</v>
      </c>
      <c r="R18" s="1258" t="s">
        <v>1211</v>
      </c>
      <c r="S18" s="2052">
        <v>47</v>
      </c>
    </row>
    <row r="19" spans="2:19" ht="16" thickBot="1" x14ac:dyDescent="0.25">
      <c r="B19" s="24"/>
      <c r="C19" s="789">
        <f t="shared" ref="C19:N19" si="2">SUM(C18:C18)</f>
        <v>1000.9399999999996</v>
      </c>
      <c r="D19" s="789">
        <f t="shared" si="2"/>
        <v>1245.0199999999998</v>
      </c>
      <c r="E19" s="790">
        <f t="shared" si="2"/>
        <v>1071.9999999999998</v>
      </c>
      <c r="F19" s="790">
        <f t="shared" si="2"/>
        <v>1048</v>
      </c>
      <c r="G19" s="790">
        <f t="shared" si="2"/>
        <v>665.86999999999989</v>
      </c>
      <c r="H19" s="702">
        <f t="shared" si="2"/>
        <v>1020.46</v>
      </c>
      <c r="I19" s="790">
        <f t="shared" si="2"/>
        <v>37</v>
      </c>
      <c r="J19" s="790">
        <f t="shared" si="2"/>
        <v>710.63999999999987</v>
      </c>
      <c r="K19" s="790">
        <f t="shared" si="2"/>
        <v>1490.78</v>
      </c>
      <c r="L19" s="789">
        <f t="shared" si="2"/>
        <v>2036</v>
      </c>
      <c r="M19" s="789">
        <f t="shared" si="2"/>
        <v>1914.9</v>
      </c>
      <c r="N19" s="790">
        <f t="shared" si="2"/>
        <v>2000</v>
      </c>
      <c r="P19" s="2006">
        <v>45433</v>
      </c>
      <c r="Q19" s="2007" t="s">
        <v>146</v>
      </c>
      <c r="R19" s="2007" t="s">
        <v>1215</v>
      </c>
      <c r="S19" s="2051">
        <v>84</v>
      </c>
    </row>
    <row r="20" spans="2:19" ht="16" thickTop="1" x14ac:dyDescent="0.2">
      <c r="B20" s="1"/>
      <c r="C20" s="2"/>
      <c r="D20" s="2"/>
      <c r="E20" s="34"/>
      <c r="F20" s="34"/>
      <c r="G20" s="34"/>
      <c r="H20" s="34"/>
      <c r="I20" s="34"/>
      <c r="J20" s="34"/>
      <c r="K20" s="34"/>
      <c r="L20" s="460"/>
      <c r="M20" s="460"/>
      <c r="N20" s="34"/>
      <c r="P20" s="2004">
        <v>45433</v>
      </c>
      <c r="Q20" s="1258" t="s">
        <v>1139</v>
      </c>
      <c r="R20" s="1258" t="s">
        <v>1216</v>
      </c>
      <c r="S20" s="2052">
        <v>480</v>
      </c>
    </row>
    <row r="21" spans="2:19" ht="16" x14ac:dyDescent="0.2">
      <c r="B21" s="823" t="s">
        <v>999</v>
      </c>
      <c r="C21" s="809" t="s">
        <v>943</v>
      </c>
      <c r="D21" s="809" t="s">
        <v>944</v>
      </c>
      <c r="E21" s="809" t="s">
        <v>945</v>
      </c>
      <c r="F21" s="809" t="s">
        <v>946</v>
      </c>
      <c r="G21" s="809" t="s">
        <v>947</v>
      </c>
      <c r="H21" s="809" t="s">
        <v>948</v>
      </c>
      <c r="I21" s="809" t="s">
        <v>949</v>
      </c>
      <c r="J21" s="809" t="s">
        <v>950</v>
      </c>
      <c r="K21" s="809" t="s">
        <v>951</v>
      </c>
      <c r="L21" s="809" t="s">
        <v>989</v>
      </c>
      <c r="M21" s="809" t="s">
        <v>1112</v>
      </c>
      <c r="N21" s="809" t="s">
        <v>1226</v>
      </c>
      <c r="P21" s="2006">
        <v>45433</v>
      </c>
      <c r="Q21" s="2007" t="s">
        <v>1139</v>
      </c>
      <c r="R21" s="2007" t="s">
        <v>1217</v>
      </c>
      <c r="S21" s="2051">
        <v>3216.32</v>
      </c>
    </row>
    <row r="22" spans="2:19" x14ac:dyDescent="0.2">
      <c r="B22" s="73" t="s">
        <v>29</v>
      </c>
      <c r="C22" s="37">
        <v>544.79999999999995</v>
      </c>
      <c r="D22" s="37">
        <v>508.55</v>
      </c>
      <c r="E22" s="38">
        <v>423.95</v>
      </c>
      <c r="F22" s="38">
        <v>360</v>
      </c>
      <c r="G22" s="39">
        <v>120</v>
      </c>
      <c r="H22" s="2448"/>
      <c r="I22" s="2448"/>
      <c r="J22" s="2448"/>
      <c r="K22" s="1012">
        <v>418</v>
      </c>
      <c r="L22" s="2455"/>
      <c r="M22" s="1171">
        <v>169</v>
      </c>
      <c r="N22" s="40"/>
      <c r="P22" s="2004">
        <v>45443</v>
      </c>
      <c r="Q22" s="1258" t="s">
        <v>1170</v>
      </c>
      <c r="R22" s="1258" t="s">
        <v>1218</v>
      </c>
      <c r="S22" s="2052">
        <v>8</v>
      </c>
    </row>
    <row r="23" spans="2:19" x14ac:dyDescent="0.2">
      <c r="B23" s="73" t="s">
        <v>182</v>
      </c>
      <c r="C23" s="37">
        <v>-363.1</v>
      </c>
      <c r="D23" s="37">
        <v>-352.85</v>
      </c>
      <c r="E23" s="38">
        <v>-298.7</v>
      </c>
      <c r="F23" s="38">
        <v>-250</v>
      </c>
      <c r="G23" s="39">
        <v>-69.5</v>
      </c>
      <c r="H23" s="2449"/>
      <c r="I23" s="2449"/>
      <c r="J23" s="2449"/>
      <c r="K23" s="291">
        <v>-245.38</v>
      </c>
      <c r="L23" s="2456"/>
      <c r="M23" s="1172">
        <v>-105.87</v>
      </c>
      <c r="N23" s="1273"/>
      <c r="P23" s="2006">
        <v>45443</v>
      </c>
      <c r="Q23" s="2007" t="s">
        <v>1170</v>
      </c>
      <c r="R23" s="2007" t="s">
        <v>1219</v>
      </c>
      <c r="S23" s="2051">
        <v>67</v>
      </c>
    </row>
    <row r="24" spans="2:19" ht="16" thickBot="1" x14ac:dyDescent="0.25">
      <c r="B24" s="24"/>
      <c r="C24" s="329">
        <f t="shared" ref="C24:N24" si="3">SUM(C22:C23)</f>
        <v>181.69999999999993</v>
      </c>
      <c r="D24" s="329">
        <f t="shared" si="3"/>
        <v>155.69999999999999</v>
      </c>
      <c r="E24" s="329">
        <f t="shared" si="3"/>
        <v>125.25</v>
      </c>
      <c r="F24" s="329">
        <f t="shared" si="3"/>
        <v>110</v>
      </c>
      <c r="G24" s="329">
        <f t="shared" si="3"/>
        <v>50.5</v>
      </c>
      <c r="H24" s="329">
        <f t="shared" ref="H24:M24" si="4">SUM(H22:H23)</f>
        <v>0</v>
      </c>
      <c r="I24" s="329">
        <f t="shared" si="4"/>
        <v>0</v>
      </c>
      <c r="J24" s="329">
        <f t="shared" si="4"/>
        <v>0</v>
      </c>
      <c r="K24" s="329">
        <f t="shared" si="4"/>
        <v>172.62</v>
      </c>
      <c r="L24" s="41">
        <f t="shared" si="4"/>
        <v>0</v>
      </c>
      <c r="M24" s="41">
        <f t="shared" si="4"/>
        <v>63.129999999999995</v>
      </c>
      <c r="N24" s="329">
        <f t="shared" si="3"/>
        <v>0</v>
      </c>
      <c r="P24" s="2004">
        <v>45443</v>
      </c>
      <c r="Q24" s="1258" t="s">
        <v>1170</v>
      </c>
      <c r="R24" s="1258" t="s">
        <v>1220</v>
      </c>
      <c r="S24" s="2052">
        <v>83.5</v>
      </c>
    </row>
    <row r="25" spans="2:19" ht="16" thickTop="1" x14ac:dyDescent="0.2">
      <c r="B25" s="1"/>
      <c r="C25" s="43"/>
      <c r="D25" s="43"/>
      <c r="E25" s="20"/>
      <c r="F25" s="20"/>
      <c r="G25" s="20"/>
      <c r="H25" s="20"/>
      <c r="I25" s="20"/>
      <c r="J25" s="20"/>
      <c r="K25" s="20"/>
      <c r="L25" s="43"/>
      <c r="M25" s="43"/>
      <c r="N25" s="20"/>
      <c r="P25" s="2006">
        <v>45471</v>
      </c>
      <c r="Q25" s="2007" t="s">
        <v>110</v>
      </c>
      <c r="R25" s="2007" t="s">
        <v>1211</v>
      </c>
      <c r="S25" s="2051">
        <v>2</v>
      </c>
    </row>
    <row r="26" spans="2:19" x14ac:dyDescent="0.2">
      <c r="B26" s="44" t="s">
        <v>566</v>
      </c>
      <c r="C26" s="40">
        <f t="shared" ref="C26:M26" si="5">+C24+C18</f>
        <v>1182.6399999999994</v>
      </c>
      <c r="D26" s="40">
        <f t="shared" si="5"/>
        <v>1400.7199999999998</v>
      </c>
      <c r="E26" s="39">
        <f t="shared" si="5"/>
        <v>1197.2499999999998</v>
      </c>
      <c r="F26" s="39">
        <f t="shared" si="5"/>
        <v>1158</v>
      </c>
      <c r="G26" s="40">
        <f t="shared" si="5"/>
        <v>716.36999999999989</v>
      </c>
      <c r="H26" s="40">
        <f t="shared" si="5"/>
        <v>1020.46</v>
      </c>
      <c r="I26" s="40">
        <f t="shared" si="5"/>
        <v>37</v>
      </c>
      <c r="J26" s="40">
        <f t="shared" si="5"/>
        <v>710.63999999999987</v>
      </c>
      <c r="K26" s="40">
        <f t="shared" si="5"/>
        <v>1663.4</v>
      </c>
      <c r="L26" s="1066">
        <f t="shared" si="5"/>
        <v>2036</v>
      </c>
      <c r="M26" s="1066">
        <f t="shared" si="5"/>
        <v>1978.0300000000002</v>
      </c>
      <c r="N26" s="822">
        <f>+N24+N19</f>
        <v>2000</v>
      </c>
      <c r="P26" s="2004">
        <v>45471</v>
      </c>
      <c r="Q26" s="1258" t="s">
        <v>910</v>
      </c>
      <c r="R26" s="1258" t="s">
        <v>1211</v>
      </c>
      <c r="S26" s="2052">
        <v>2</v>
      </c>
    </row>
    <row r="27" spans="2:19" x14ac:dyDescent="0.2">
      <c r="P27" s="2006">
        <v>45471</v>
      </c>
      <c r="Q27" s="2007" t="s">
        <v>1170</v>
      </c>
      <c r="R27" s="2007" t="s">
        <v>1221</v>
      </c>
      <c r="S27" s="2051">
        <v>5.3</v>
      </c>
    </row>
    <row r="28" spans="2:19" x14ac:dyDescent="0.2">
      <c r="P28" s="2004">
        <v>45471</v>
      </c>
      <c r="Q28" s="1258" t="s">
        <v>1170</v>
      </c>
      <c r="R28" s="1258" t="s">
        <v>1222</v>
      </c>
      <c r="S28" s="2052">
        <v>6</v>
      </c>
    </row>
    <row r="29" spans="2:19" x14ac:dyDescent="0.2">
      <c r="P29" s="2006">
        <v>45471</v>
      </c>
      <c r="Q29" s="2007" t="s">
        <v>1170</v>
      </c>
      <c r="R29" s="2007" t="s">
        <v>1223</v>
      </c>
      <c r="S29" s="2051">
        <v>10</v>
      </c>
    </row>
    <row r="30" spans="2:19" x14ac:dyDescent="0.2">
      <c r="P30" s="2004">
        <v>45471</v>
      </c>
      <c r="Q30" s="1258" t="s">
        <v>1170</v>
      </c>
      <c r="R30" s="1258" t="s">
        <v>1221</v>
      </c>
      <c r="S30" s="2052">
        <v>41.2</v>
      </c>
    </row>
    <row r="31" spans="2:19" x14ac:dyDescent="0.2">
      <c r="P31" s="2006">
        <v>45573</v>
      </c>
      <c r="Q31" s="2007" t="s">
        <v>1207</v>
      </c>
      <c r="R31" s="2007" t="s">
        <v>1224</v>
      </c>
      <c r="S31" s="2051">
        <v>-105.87</v>
      </c>
    </row>
    <row r="32" spans="2:19" x14ac:dyDescent="0.2">
      <c r="P32" s="2004">
        <v>45586</v>
      </c>
      <c r="Q32" s="1258" t="s">
        <v>1170</v>
      </c>
      <c r="R32" s="1258" t="s">
        <v>1225</v>
      </c>
      <c r="S32" s="2053">
        <v>169</v>
      </c>
    </row>
    <row r="33" spans="19:19" ht="16" thickBot="1" x14ac:dyDescent="0.25">
      <c r="S33" s="2054">
        <f>SUM(S1:S32)</f>
        <v>1978.0300000000002</v>
      </c>
    </row>
    <row r="34" spans="19:19" ht="16" thickTop="1" x14ac:dyDescent="0.2"/>
  </sheetData>
  <mergeCells count="8">
    <mergeCell ref="J3:M3"/>
    <mergeCell ref="H22:H23"/>
    <mergeCell ref="B1:N1"/>
    <mergeCell ref="B2:N2"/>
    <mergeCell ref="I22:I23"/>
    <mergeCell ref="J22:J23"/>
    <mergeCell ref="L5:L16"/>
    <mergeCell ref="L22:L23"/>
  </mergeCells>
  <phoneticPr fontId="52" type="noConversion"/>
  <conditionalFormatting sqref="A1:B1">
    <cfRule type="cellIs" dxfId="92" priority="145" operator="equal">
      <formula>0</formula>
    </cfRule>
  </conditionalFormatting>
  <hyperlinks>
    <hyperlink ref="B1" location="Summary!A1" display="Summary!A1" xr:uid="{EBED5085-1992-4BB8-B996-40F601DD861D}"/>
    <hyperlink ref="N26" location="Summary!T38" display="Summary!T38" xr:uid="{15C7A986-9FB2-4AE1-80CC-EFD8FB366819}"/>
  </hyperlinks>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FF00"/>
    <pageSetUpPr fitToPage="1"/>
  </sheetPr>
  <dimension ref="A1:Y26"/>
  <sheetViews>
    <sheetView zoomScaleNormal="100" zoomScaleSheetLayoutView="100" workbookViewId="0">
      <pane xSplit="2" ySplit="5" topLeftCell="Q6" activePane="bottomRight" state="frozen"/>
      <selection activeCell="L17" sqref="L17"/>
      <selection pane="topRight" activeCell="L17" sqref="L17"/>
      <selection pane="bottomLeft" activeCell="L17" sqref="L17"/>
      <selection pane="bottomRight" activeCell="L17" sqref="L17"/>
    </sheetView>
  </sheetViews>
  <sheetFormatPr baseColWidth="10" defaultColWidth="10.83203125" defaultRowHeight="15" x14ac:dyDescent="0.2"/>
  <cols>
    <col min="1" max="1" width="4.33203125" style="2" customWidth="1"/>
    <col min="2" max="2" width="16.33203125" style="2" customWidth="1"/>
    <col min="3" max="3" width="7.83203125" style="2" hidden="1" customWidth="1"/>
    <col min="4" max="4" width="6.33203125" style="2" hidden="1" customWidth="1"/>
    <col min="5" max="5" width="8.83203125" style="2" hidden="1" customWidth="1"/>
    <col min="6" max="6" width="6.33203125" style="2" hidden="1" customWidth="1"/>
    <col min="7" max="7" width="5.83203125" style="2" hidden="1" customWidth="1"/>
    <col min="8" max="8" width="6.33203125" style="2" hidden="1" customWidth="1"/>
    <col min="9" max="9" width="5.83203125" style="2" hidden="1" customWidth="1"/>
    <col min="10" max="10" width="6.5" style="2" hidden="1" customWidth="1"/>
    <col min="11" max="11" width="5.83203125" style="2" hidden="1" customWidth="1"/>
    <col min="12" max="12" width="6.5" style="2" hidden="1" customWidth="1"/>
    <col min="13" max="13" width="5.83203125" style="2" hidden="1" customWidth="1"/>
    <col min="14" max="16" width="6.5" style="2" hidden="1" customWidth="1"/>
    <col min="17" max="17" width="6.5" style="2" bestFit="1" customWidth="1"/>
    <col min="18" max="18" width="7" style="2" bestFit="1" customWidth="1"/>
    <col min="19" max="19" width="7" style="2" customWidth="1"/>
    <col min="20" max="20" width="10.33203125" style="2" customWidth="1"/>
    <col min="21" max="21" width="10.33203125" style="2" bestFit="1" customWidth="1"/>
    <col min="22" max="22" width="10.5" style="2" bestFit="1" customWidth="1"/>
    <col min="23" max="23" width="23.1640625" style="2" bestFit="1" customWidth="1"/>
    <col min="24" max="24" width="27.6640625" style="2" bestFit="1" customWidth="1"/>
    <col min="25" max="25" width="7.6640625" style="2" bestFit="1" customWidth="1"/>
    <col min="26" max="16384" width="10.83203125" style="2"/>
  </cols>
  <sheetData>
    <row r="1" spans="1:25" s="1683" customFormat="1" ht="24" x14ac:dyDescent="0.2">
      <c r="A1" s="1912"/>
      <c r="B1" s="2289" t="s">
        <v>725</v>
      </c>
      <c r="C1" s="2289"/>
      <c r="D1" s="2289"/>
      <c r="E1" s="2289"/>
      <c r="F1" s="2289"/>
      <c r="G1" s="2289"/>
      <c r="H1" s="2289"/>
      <c r="I1" s="2289"/>
      <c r="J1" s="2289"/>
      <c r="K1" s="2289"/>
      <c r="L1" s="2289"/>
      <c r="M1" s="2289"/>
      <c r="N1" s="2289"/>
      <c r="O1" s="2289"/>
      <c r="P1" s="2289"/>
      <c r="Q1" s="2289"/>
      <c r="R1" s="2289"/>
      <c r="S1" s="2289"/>
      <c r="T1" s="2289"/>
    </row>
    <row r="2" spans="1:25" x14ac:dyDescent="0.2">
      <c r="B2" s="2459" t="s">
        <v>405</v>
      </c>
      <c r="C2" s="2459"/>
      <c r="D2" s="2459"/>
      <c r="E2" s="2459"/>
      <c r="F2" s="2459"/>
      <c r="G2" s="2459"/>
      <c r="H2" s="2459"/>
      <c r="I2" s="2459"/>
      <c r="J2" s="2459"/>
      <c r="K2" s="2459"/>
      <c r="L2" s="2459"/>
      <c r="M2" s="2459"/>
      <c r="N2" s="2459"/>
      <c r="O2" s="2459"/>
      <c r="P2" s="2459"/>
      <c r="Q2" s="2459"/>
      <c r="R2" s="2459"/>
      <c r="S2" s="2459"/>
      <c r="T2" s="2459"/>
    </row>
    <row r="3" spans="1:25" s="109" customFormat="1" x14ac:dyDescent="0.2">
      <c r="B3" s="69"/>
      <c r="C3" s="1274">
        <v>2014</v>
      </c>
      <c r="D3" s="1274"/>
      <c r="E3" s="1274">
        <v>2015</v>
      </c>
      <c r="F3" s="1274"/>
      <c r="G3" s="1274">
        <v>2016</v>
      </c>
      <c r="H3" s="1274"/>
      <c r="I3" s="1274">
        <v>2017</v>
      </c>
      <c r="J3" s="1274"/>
      <c r="K3" s="1274">
        <v>2018</v>
      </c>
      <c r="L3" s="1274"/>
      <c r="M3" s="350">
        <v>2019</v>
      </c>
      <c r="N3" s="350">
        <v>2019</v>
      </c>
      <c r="O3" s="350">
        <v>2020</v>
      </c>
      <c r="P3" s="664">
        <v>2021</v>
      </c>
      <c r="Q3" s="2323" t="s">
        <v>481</v>
      </c>
      <c r="R3" s="2323"/>
      <c r="S3" s="2323"/>
      <c r="T3" s="1473" t="s">
        <v>519</v>
      </c>
      <c r="U3" s="2"/>
      <c r="V3" s="1217">
        <v>45324</v>
      </c>
      <c r="W3" s="331" t="s">
        <v>1139</v>
      </c>
      <c r="X3" s="331" t="s">
        <v>1227</v>
      </c>
      <c r="Y3" s="2056">
        <v>624</v>
      </c>
    </row>
    <row r="4" spans="1:25" s="109" customFormat="1" x14ac:dyDescent="0.2">
      <c r="B4" s="69"/>
      <c r="C4" s="2458" t="s">
        <v>520</v>
      </c>
      <c r="D4" s="2458"/>
      <c r="E4" s="2458"/>
      <c r="F4" s="2458"/>
      <c r="G4" s="2458"/>
      <c r="H4" s="2458"/>
      <c r="I4" s="2458"/>
      <c r="J4" s="2458"/>
      <c r="K4" s="2458"/>
      <c r="L4" s="2458"/>
      <c r="M4" s="2458"/>
      <c r="N4" s="2458"/>
      <c r="O4" s="2458"/>
      <c r="P4" s="2458"/>
      <c r="Q4" s="8">
        <v>2022</v>
      </c>
      <c r="R4" s="411">
        <v>2023</v>
      </c>
      <c r="S4" s="411">
        <v>2024</v>
      </c>
      <c r="T4" s="8">
        <v>2025</v>
      </c>
      <c r="U4" s="2"/>
      <c r="V4" s="1218">
        <v>45335</v>
      </c>
      <c r="W4" s="330" t="s">
        <v>1228</v>
      </c>
      <c r="X4" s="330" t="s">
        <v>1229</v>
      </c>
      <c r="Y4" s="2056">
        <v>-610</v>
      </c>
    </row>
    <row r="5" spans="1:25" x14ac:dyDescent="0.2">
      <c r="B5" s="73"/>
      <c r="C5" s="465" t="s">
        <v>402</v>
      </c>
      <c r="D5" s="465" t="s">
        <v>403</v>
      </c>
      <c r="E5" s="465" t="s">
        <v>402</v>
      </c>
      <c r="F5" s="465" t="s">
        <v>403</v>
      </c>
      <c r="G5" s="465" t="s">
        <v>402</v>
      </c>
      <c r="H5" s="465" t="s">
        <v>403</v>
      </c>
      <c r="I5" s="465" t="s">
        <v>402</v>
      </c>
      <c r="J5" s="465" t="s">
        <v>403</v>
      </c>
      <c r="K5" s="465" t="s">
        <v>402</v>
      </c>
      <c r="L5" s="465" t="s">
        <v>403</v>
      </c>
      <c r="M5" s="465" t="s">
        <v>402</v>
      </c>
      <c r="N5" s="465" t="s">
        <v>403</v>
      </c>
      <c r="O5" s="465" t="s">
        <v>403</v>
      </c>
      <c r="P5" s="465" t="s">
        <v>403</v>
      </c>
      <c r="Q5" s="863" t="s">
        <v>403</v>
      </c>
      <c r="R5" s="863" t="s">
        <v>403</v>
      </c>
      <c r="S5" s="863" t="s">
        <v>403</v>
      </c>
      <c r="T5" s="863" t="s">
        <v>403</v>
      </c>
      <c r="V5" s="1217">
        <v>45337</v>
      </c>
      <c r="W5" s="331" t="s">
        <v>1228</v>
      </c>
      <c r="X5" s="331" t="s">
        <v>1230</v>
      </c>
      <c r="Y5" s="2056">
        <v>-60</v>
      </c>
    </row>
    <row r="6" spans="1:25" x14ac:dyDescent="0.2">
      <c r="B6" s="1426" t="s">
        <v>1241</v>
      </c>
      <c r="C6" s="73"/>
      <c r="D6" s="73"/>
      <c r="E6" s="73"/>
      <c r="F6" s="73"/>
      <c r="G6" s="73"/>
      <c r="H6" s="73"/>
      <c r="I6" s="73"/>
      <c r="J6" s="73"/>
      <c r="K6" s="73"/>
      <c r="L6" s="73"/>
      <c r="M6" s="73"/>
      <c r="N6" s="73"/>
      <c r="O6" s="73"/>
      <c r="P6" s="12"/>
      <c r="Q6" s="73"/>
      <c r="R6" s="12"/>
      <c r="S6" s="12"/>
      <c r="T6" s="73"/>
      <c r="V6" s="1218">
        <v>45337</v>
      </c>
      <c r="W6" s="330" t="s">
        <v>1139</v>
      </c>
      <c r="X6" s="330" t="s">
        <v>1231</v>
      </c>
      <c r="Y6" s="2056">
        <v>174</v>
      </c>
    </row>
    <row r="7" spans="1:25" ht="14.5" customHeight="1" x14ac:dyDescent="0.2">
      <c r="B7" s="335" t="s">
        <v>198</v>
      </c>
      <c r="C7" s="463">
        <v>846</v>
      </c>
      <c r="D7" s="463">
        <v>711</v>
      </c>
      <c r="E7" s="463">
        <v>639</v>
      </c>
      <c r="F7" s="463">
        <v>684</v>
      </c>
      <c r="G7" s="1648" t="s">
        <v>556</v>
      </c>
      <c r="H7" s="463">
        <v>594</v>
      </c>
      <c r="I7" s="1648" t="s">
        <v>556</v>
      </c>
      <c r="J7" s="466">
        <v>900</v>
      </c>
      <c r="K7" s="1648" t="s">
        <v>556</v>
      </c>
      <c r="L7" s="466">
        <v>1068</v>
      </c>
      <c r="M7" s="1648" t="s">
        <v>556</v>
      </c>
      <c r="N7" s="466">
        <v>1049</v>
      </c>
      <c r="O7" s="466"/>
      <c r="P7" s="466">
        <v>1014</v>
      </c>
      <c r="Q7" s="466">
        <v>1195</v>
      </c>
      <c r="R7" s="466">
        <v>1439</v>
      </c>
      <c r="S7" s="463">
        <v>1043</v>
      </c>
      <c r="T7" s="466"/>
      <c r="V7" s="1217">
        <v>45337</v>
      </c>
      <c r="W7" s="331" t="s">
        <v>1139</v>
      </c>
      <c r="X7" s="331" t="s">
        <v>1232</v>
      </c>
      <c r="Y7" s="2056">
        <v>270.60000000000002</v>
      </c>
    </row>
    <row r="8" spans="1:25" x14ac:dyDescent="0.2">
      <c r="B8" s="335" t="s">
        <v>195</v>
      </c>
      <c r="C8" s="466">
        <v>220</v>
      </c>
      <c r="D8" s="466">
        <v>208</v>
      </c>
      <c r="E8" s="463">
        <v>190.9</v>
      </c>
      <c r="F8" s="466">
        <v>174</v>
      </c>
      <c r="G8" s="1648"/>
      <c r="H8" s="466">
        <v>173.6</v>
      </c>
      <c r="I8" s="1648"/>
      <c r="J8" s="466">
        <v>255</v>
      </c>
      <c r="K8" s="1648"/>
      <c r="L8" s="466"/>
      <c r="M8" s="1648"/>
      <c r="N8" s="466">
        <v>350</v>
      </c>
      <c r="O8" s="466"/>
      <c r="P8" s="466">
        <v>308</v>
      </c>
      <c r="Q8" s="466">
        <v>316</v>
      </c>
      <c r="R8" s="466"/>
      <c r="S8" s="463">
        <v>300</v>
      </c>
      <c r="T8" s="466"/>
      <c r="V8" s="12"/>
      <c r="W8" s="12"/>
      <c r="X8" s="12"/>
      <c r="Y8" s="12"/>
    </row>
    <row r="9" spans="1:25" x14ac:dyDescent="0.2">
      <c r="B9" s="335" t="s">
        <v>1068</v>
      </c>
      <c r="C9" s="466"/>
      <c r="D9" s="466"/>
      <c r="E9" s="466"/>
      <c r="F9" s="466"/>
      <c r="G9" s="1648"/>
      <c r="H9" s="466">
        <v>-3</v>
      </c>
      <c r="I9" s="1648"/>
      <c r="J9" s="466">
        <v>-28</v>
      </c>
      <c r="K9" s="1648"/>
      <c r="L9" s="466"/>
      <c r="M9" s="1648"/>
      <c r="N9" s="466"/>
      <c r="O9" s="466"/>
      <c r="P9" s="466"/>
      <c r="Q9" s="466">
        <v>-109</v>
      </c>
      <c r="R9" s="466"/>
      <c r="S9" s="463"/>
      <c r="T9" s="466"/>
      <c r="V9" s="1218">
        <v>45625</v>
      </c>
      <c r="W9" s="330" t="s">
        <v>1233</v>
      </c>
      <c r="X9" s="330" t="s">
        <v>1234</v>
      </c>
      <c r="Y9" s="2056">
        <v>66</v>
      </c>
    </row>
    <row r="10" spans="1:25" x14ac:dyDescent="0.2">
      <c r="B10" s="335" t="s">
        <v>168</v>
      </c>
      <c r="C10" s="463">
        <v>-233.26</v>
      </c>
      <c r="D10" s="463">
        <v>-169.65</v>
      </c>
      <c r="E10" s="463">
        <v>-104.85</v>
      </c>
      <c r="F10" s="463">
        <v>-114.11</v>
      </c>
      <c r="G10" s="1648"/>
      <c r="H10" s="463">
        <v>-123.11000000000001</v>
      </c>
      <c r="I10" s="1648"/>
      <c r="J10" s="466">
        <v>-144</v>
      </c>
      <c r="K10" s="1648"/>
      <c r="L10" s="466"/>
      <c r="M10" s="1648"/>
      <c r="N10" s="466">
        <v>-226.76</v>
      </c>
      <c r="O10" s="466"/>
      <c r="P10" s="466">
        <v>-20</v>
      </c>
      <c r="Q10" s="466">
        <v>-33.880000000000003</v>
      </c>
      <c r="R10" s="466"/>
      <c r="S10" s="2457">
        <v>-473</v>
      </c>
      <c r="T10" s="466"/>
      <c r="V10" s="1217">
        <v>45633</v>
      </c>
      <c r="W10" s="331" t="s">
        <v>103</v>
      </c>
      <c r="X10" s="331" t="s">
        <v>1235</v>
      </c>
      <c r="Y10" s="2056">
        <v>300</v>
      </c>
    </row>
    <row r="11" spans="1:25" x14ac:dyDescent="0.2">
      <c r="B11" s="335" t="s">
        <v>968</v>
      </c>
      <c r="C11" s="463"/>
      <c r="D11" s="463"/>
      <c r="E11" s="463"/>
      <c r="F11" s="463"/>
      <c r="G11" s="1648"/>
      <c r="H11" s="463"/>
      <c r="I11" s="1648"/>
      <c r="J11" s="466"/>
      <c r="K11" s="1648"/>
      <c r="L11" s="466"/>
      <c r="M11" s="1648"/>
      <c r="N11" s="466"/>
      <c r="O11" s="466"/>
      <c r="P11" s="466">
        <v>-602</v>
      </c>
      <c r="Q11" s="466">
        <v>-737.12</v>
      </c>
      <c r="R11" s="466"/>
      <c r="S11" s="2457"/>
      <c r="T11" s="466"/>
      <c r="V11" s="1218">
        <v>45636</v>
      </c>
      <c r="W11" s="330" t="s">
        <v>100</v>
      </c>
      <c r="X11" s="330" t="s">
        <v>1236</v>
      </c>
      <c r="Y11" s="2056">
        <v>-295.43</v>
      </c>
    </row>
    <row r="12" spans="1:25" x14ac:dyDescent="0.2">
      <c r="B12" s="335" t="s">
        <v>404</v>
      </c>
      <c r="C12" s="463"/>
      <c r="D12" s="463">
        <v>-37.020000000000003</v>
      </c>
      <c r="E12" s="463">
        <v>-4.75</v>
      </c>
      <c r="F12" s="463">
        <v>-40</v>
      </c>
      <c r="G12" s="1648"/>
      <c r="H12" s="463">
        <v>-42.1</v>
      </c>
      <c r="I12" s="1648"/>
      <c r="J12" s="466">
        <v>-99</v>
      </c>
      <c r="K12" s="1648"/>
      <c r="L12" s="466"/>
      <c r="M12" s="1648"/>
      <c r="N12" s="466">
        <v>-114.62</v>
      </c>
      <c r="O12" s="466"/>
      <c r="P12" s="466">
        <v>-100</v>
      </c>
      <c r="Q12" s="466"/>
      <c r="R12" s="466"/>
      <c r="S12" s="2457"/>
      <c r="T12" s="466"/>
      <c r="V12" s="1217">
        <v>45636</v>
      </c>
      <c r="W12" s="331" t="s">
        <v>126</v>
      </c>
      <c r="X12" s="331" t="s">
        <v>1236</v>
      </c>
      <c r="Y12" s="2056">
        <v>-113</v>
      </c>
    </row>
    <row r="13" spans="1:25" x14ac:dyDescent="0.2">
      <c r="B13" s="1649"/>
      <c r="C13" s="1276"/>
      <c r="D13" s="1276"/>
      <c r="E13" s="1276"/>
      <c r="F13" s="1276"/>
      <c r="G13" s="1650"/>
      <c r="H13" s="1276"/>
      <c r="I13" s="1650"/>
      <c r="J13" s="1275"/>
      <c r="K13" s="1650"/>
      <c r="L13" s="1275"/>
      <c r="M13" s="1650"/>
      <c r="N13" s="1275"/>
      <c r="O13" s="1275"/>
      <c r="P13" s="1275"/>
      <c r="Q13" s="1275"/>
      <c r="R13" s="1275"/>
      <c r="S13" s="1276"/>
      <c r="T13" s="1275"/>
      <c r="V13" s="1218">
        <v>45636</v>
      </c>
      <c r="W13" s="330" t="s">
        <v>117</v>
      </c>
      <c r="X13" s="330" t="s">
        <v>1236</v>
      </c>
      <c r="Y13" s="2056">
        <v>-64.47</v>
      </c>
    </row>
    <row r="14" spans="1:25" x14ac:dyDescent="0.2">
      <c r="B14" s="1410" t="s">
        <v>1239</v>
      </c>
      <c r="C14" s="463"/>
      <c r="D14" s="463"/>
      <c r="E14" s="463"/>
      <c r="F14" s="463"/>
      <c r="G14" s="1648"/>
      <c r="H14" s="463"/>
      <c r="I14" s="1648"/>
      <c r="J14" s="466"/>
      <c r="K14" s="1648"/>
      <c r="L14" s="466"/>
      <c r="M14" s="1648"/>
      <c r="N14" s="466"/>
      <c r="O14" s="466"/>
      <c r="P14" s="466"/>
      <c r="Q14" s="466"/>
      <c r="R14" s="466"/>
      <c r="S14" s="463"/>
      <c r="T14" s="466"/>
      <c r="V14" s="1217">
        <v>45645</v>
      </c>
      <c r="W14" s="331" t="s">
        <v>92</v>
      </c>
      <c r="X14" s="331" t="s">
        <v>1237</v>
      </c>
      <c r="Y14" s="2056">
        <v>-22</v>
      </c>
    </row>
    <row r="15" spans="1:25" x14ac:dyDescent="0.2">
      <c r="B15" s="335" t="s">
        <v>198</v>
      </c>
      <c r="C15" s="463"/>
      <c r="D15" s="463"/>
      <c r="E15" s="463"/>
      <c r="F15" s="463"/>
      <c r="G15" s="1648"/>
      <c r="H15" s="463"/>
      <c r="I15" s="1648"/>
      <c r="J15" s="466"/>
      <c r="K15" s="1648"/>
      <c r="L15" s="466"/>
      <c r="M15" s="1648"/>
      <c r="N15" s="466"/>
      <c r="O15" s="466"/>
      <c r="P15" s="466"/>
      <c r="Q15" s="466"/>
      <c r="R15" s="466"/>
      <c r="S15" s="463">
        <v>798</v>
      </c>
      <c r="T15" s="466"/>
      <c r="V15" s="1218">
        <v>45645</v>
      </c>
      <c r="W15" s="330" t="s">
        <v>1170</v>
      </c>
      <c r="X15" s="330" t="s">
        <v>1238</v>
      </c>
      <c r="Y15" s="2056">
        <v>999</v>
      </c>
    </row>
    <row r="16" spans="1:25" ht="16" thickBot="1" x14ac:dyDescent="0.25">
      <c r="B16" s="335" t="s">
        <v>195</v>
      </c>
      <c r="C16" s="463"/>
      <c r="D16" s="463"/>
      <c r="E16" s="463"/>
      <c r="F16" s="463"/>
      <c r="G16" s="1648"/>
      <c r="H16" s="463"/>
      <c r="I16" s="1648"/>
      <c r="J16" s="466"/>
      <c r="K16" s="1648"/>
      <c r="L16" s="466"/>
      <c r="M16" s="1648"/>
      <c r="N16" s="466"/>
      <c r="O16" s="466"/>
      <c r="P16" s="466"/>
      <c r="Q16" s="466"/>
      <c r="R16" s="466"/>
      <c r="S16" s="463">
        <v>271</v>
      </c>
      <c r="T16" s="466"/>
      <c r="V16" s="60"/>
      <c r="W16" s="60"/>
      <c r="X16" s="60"/>
      <c r="Y16" s="2057">
        <f>SUM(Y3:Y15)</f>
        <v>1268.7</v>
      </c>
    </row>
    <row r="17" spans="2:25" ht="16" thickTop="1" x14ac:dyDescent="0.2">
      <c r="B17" s="335" t="s">
        <v>968</v>
      </c>
      <c r="C17" s="463"/>
      <c r="D17" s="463"/>
      <c r="E17" s="463"/>
      <c r="F17" s="463"/>
      <c r="G17" s="1648"/>
      <c r="H17" s="463"/>
      <c r="I17" s="1648"/>
      <c r="J17" s="466"/>
      <c r="K17" s="1648"/>
      <c r="L17" s="466"/>
      <c r="M17" s="1648"/>
      <c r="N17" s="466"/>
      <c r="O17" s="466"/>
      <c r="P17" s="466"/>
      <c r="Q17" s="466"/>
      <c r="R17" s="466"/>
      <c r="S17" s="463">
        <v>-610</v>
      </c>
      <c r="T17" s="466"/>
      <c r="Y17" s="2058"/>
    </row>
    <row r="18" spans="2:25" x14ac:dyDescent="0.2">
      <c r="B18" s="335" t="s">
        <v>1240</v>
      </c>
      <c r="C18" s="463"/>
      <c r="D18" s="463"/>
      <c r="E18" s="463"/>
      <c r="F18" s="463"/>
      <c r="G18" s="1648"/>
      <c r="H18" s="463"/>
      <c r="I18" s="1648"/>
      <c r="J18" s="466"/>
      <c r="K18" s="1648"/>
      <c r="L18" s="466"/>
      <c r="M18" s="1648"/>
      <c r="N18" s="466"/>
      <c r="O18" s="466"/>
      <c r="P18" s="466"/>
      <c r="Q18" s="466"/>
      <c r="R18" s="466"/>
      <c r="S18" s="463">
        <v>-60</v>
      </c>
      <c r="T18" s="466"/>
    </row>
    <row r="19" spans="2:25" x14ac:dyDescent="0.2">
      <c r="B19" s="335"/>
      <c r="C19" s="463"/>
      <c r="D19" s="463"/>
      <c r="E19" s="463"/>
      <c r="F19" s="463"/>
      <c r="G19" s="1648"/>
      <c r="H19" s="463"/>
      <c r="I19" s="1648"/>
      <c r="J19" s="466"/>
      <c r="K19" s="1648"/>
      <c r="L19" s="466"/>
      <c r="M19" s="1648"/>
      <c r="N19" s="466"/>
      <c r="O19" s="466"/>
      <c r="P19" s="466"/>
      <c r="Q19" s="466"/>
      <c r="R19" s="466"/>
      <c r="S19" s="463"/>
      <c r="T19" s="466"/>
    </row>
    <row r="20" spans="2:25" x14ac:dyDescent="0.2">
      <c r="B20" s="335"/>
      <c r="C20" s="463"/>
      <c r="D20" s="463"/>
      <c r="E20" s="463"/>
      <c r="F20" s="463"/>
      <c r="G20" s="1648"/>
      <c r="H20" s="463"/>
      <c r="I20" s="1648"/>
      <c r="J20" s="466"/>
      <c r="K20" s="1648"/>
      <c r="L20" s="466"/>
      <c r="M20" s="1648"/>
      <c r="N20" s="466"/>
      <c r="O20" s="466"/>
      <c r="P20" s="466"/>
      <c r="Q20" s="466"/>
      <c r="R20" s="466"/>
      <c r="S20" s="463"/>
      <c r="T20" s="466"/>
    </row>
    <row r="21" spans="2:25" x14ac:dyDescent="0.2">
      <c r="B21" s="335"/>
      <c r="C21" s="463"/>
      <c r="D21" s="463"/>
      <c r="E21" s="463"/>
      <c r="F21" s="463"/>
      <c r="G21" s="1648"/>
      <c r="H21" s="463"/>
      <c r="I21" s="1648"/>
      <c r="J21" s="466"/>
      <c r="K21" s="1648"/>
      <c r="L21" s="466"/>
      <c r="M21" s="1648"/>
      <c r="N21" s="466"/>
      <c r="O21" s="466"/>
      <c r="P21" s="466"/>
      <c r="Q21" s="466"/>
      <c r="R21" s="466"/>
      <c r="S21" s="463"/>
      <c r="T21" s="466"/>
    </row>
    <row r="22" spans="2:25" x14ac:dyDescent="0.2">
      <c r="B22" s="335"/>
      <c r="C22" s="463"/>
      <c r="D22" s="463"/>
      <c r="E22" s="463"/>
      <c r="F22" s="463"/>
      <c r="G22" s="1648"/>
      <c r="H22" s="463"/>
      <c r="I22" s="1648"/>
      <c r="J22" s="466"/>
      <c r="K22" s="1648"/>
      <c r="L22" s="466"/>
      <c r="M22" s="1648"/>
      <c r="N22" s="466"/>
      <c r="O22" s="466"/>
      <c r="P22" s="466"/>
      <c r="Q22" s="466"/>
      <c r="R22" s="466"/>
      <c r="S22" s="463"/>
      <c r="T22" s="466"/>
    </row>
    <row r="23" spans="2:25" x14ac:dyDescent="0.2">
      <c r="B23" s="335"/>
      <c r="C23" s="463"/>
      <c r="D23" s="463"/>
      <c r="E23" s="463"/>
      <c r="F23" s="463"/>
      <c r="G23" s="1648"/>
      <c r="H23" s="463"/>
      <c r="I23" s="1648"/>
      <c r="J23" s="466"/>
      <c r="K23" s="1648"/>
      <c r="L23" s="466"/>
      <c r="M23" s="1648"/>
      <c r="N23" s="466"/>
      <c r="O23" s="466"/>
      <c r="P23" s="466"/>
      <c r="Q23" s="466"/>
      <c r="R23" s="466"/>
      <c r="S23" s="463"/>
      <c r="T23" s="466"/>
    </row>
    <row r="24" spans="2:25" x14ac:dyDescent="0.2">
      <c r="B24" s="335"/>
      <c r="C24" s="463"/>
      <c r="D24" s="463"/>
      <c r="E24" s="463"/>
      <c r="F24" s="463"/>
      <c r="G24" s="1648"/>
      <c r="H24" s="463"/>
      <c r="I24" s="1648"/>
      <c r="J24" s="466"/>
      <c r="K24" s="1648"/>
      <c r="L24" s="466"/>
      <c r="M24" s="1648"/>
      <c r="N24" s="466"/>
      <c r="O24" s="466"/>
      <c r="P24" s="466"/>
      <c r="Q24" s="466"/>
      <c r="R24" s="466"/>
      <c r="S24" s="463"/>
      <c r="T24" s="1651">
        <v>1250</v>
      </c>
    </row>
    <row r="25" spans="2:25" ht="16" thickBot="1" x14ac:dyDescent="0.25">
      <c r="B25" s="468" t="s">
        <v>557</v>
      </c>
      <c r="C25" s="469">
        <f>SUM(C7:C24)</f>
        <v>832.74</v>
      </c>
      <c r="D25" s="469">
        <f>SUM(D7:D24)</f>
        <v>712.33</v>
      </c>
      <c r="E25" s="469">
        <f>SUM(E7:E24)</f>
        <v>720.3</v>
      </c>
      <c r="F25" s="469">
        <f>SUM(F7:F24)</f>
        <v>703.89</v>
      </c>
      <c r="G25" s="469">
        <v>0</v>
      </c>
      <c r="H25" s="469">
        <f>SUM(H7:H24)</f>
        <v>599.39</v>
      </c>
      <c r="I25" s="469">
        <v>0</v>
      </c>
      <c r="J25" s="469">
        <f>SUM(J7:J24)</f>
        <v>884</v>
      </c>
      <c r="K25" s="469">
        <v>0</v>
      </c>
      <c r="L25" s="469">
        <f>SUM(L7:L24)</f>
        <v>1068</v>
      </c>
      <c r="M25" s="469">
        <v>0</v>
      </c>
      <c r="N25" s="469">
        <f t="shared" ref="N25:T25" si="0">SUM(N7:N24)</f>
        <v>1057.6199999999999</v>
      </c>
      <c r="O25" s="469">
        <f t="shared" si="0"/>
        <v>0</v>
      </c>
      <c r="P25" s="469">
        <f t="shared" si="0"/>
        <v>600</v>
      </c>
      <c r="Q25" s="469">
        <f t="shared" si="0"/>
        <v>630.99999999999989</v>
      </c>
      <c r="R25" s="1277">
        <f t="shared" si="0"/>
        <v>1439</v>
      </c>
      <c r="S25" s="1277">
        <f t="shared" si="0"/>
        <v>1269</v>
      </c>
      <c r="T25" s="1278">
        <f t="shared" si="0"/>
        <v>1250</v>
      </c>
    </row>
    <row r="26" spans="2:25" ht="16" thickTop="1" x14ac:dyDescent="0.2"/>
  </sheetData>
  <mergeCells count="5">
    <mergeCell ref="Q3:S3"/>
    <mergeCell ref="S10:S12"/>
    <mergeCell ref="C4:P4"/>
    <mergeCell ref="B1:T1"/>
    <mergeCell ref="B2:T2"/>
  </mergeCells>
  <conditionalFormatting sqref="A1:B1">
    <cfRule type="cellIs" dxfId="91" priority="1" operator="equal">
      <formula>0</formula>
    </cfRule>
  </conditionalFormatting>
  <hyperlinks>
    <hyperlink ref="T25" location="Summary!T39" display="Summary!T39" xr:uid="{19178F3E-227F-4CF0-9100-2BB3D9C7B1D6}"/>
    <hyperlink ref="B1" location="Summary!A1" display="Summary!A1" xr:uid="{E4F63482-1F6D-4D38-AE2F-51B45B20994F}"/>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FF00"/>
    <pageSetUpPr fitToPage="1"/>
  </sheetPr>
  <dimension ref="A1:Y35"/>
  <sheetViews>
    <sheetView zoomScaleNormal="100" zoomScaleSheetLayoutView="87" workbookViewId="0">
      <pane xSplit="2" ySplit="5" topLeftCell="C20" activePane="bottomRight" state="frozen"/>
      <selection activeCell="L17" sqref="L17"/>
      <selection pane="topRight" activeCell="L17" sqref="L17"/>
      <selection pane="bottomLeft" activeCell="L17" sqref="L17"/>
      <selection pane="bottomRight" activeCell="L17" sqref="L17"/>
    </sheetView>
  </sheetViews>
  <sheetFormatPr baseColWidth="10" defaultColWidth="8.83203125" defaultRowHeight="15" x14ac:dyDescent="0.2"/>
  <cols>
    <col min="1" max="1" width="3.1640625" style="2" customWidth="1"/>
    <col min="2" max="2" width="16.33203125" style="2062" bestFit="1" customWidth="1"/>
    <col min="3" max="3" width="12" style="2062" hidden="1" customWidth="1"/>
    <col min="4" max="4" width="8.5" style="2063" hidden="1" customWidth="1"/>
    <col min="5" max="5" width="7.1640625" style="2062" hidden="1" customWidth="1"/>
    <col min="6" max="6" width="7.1640625" style="2064" hidden="1" customWidth="1"/>
    <col min="7" max="7" width="1.5" style="2062" hidden="1" customWidth="1"/>
    <col min="8" max="8" width="13.6640625" style="2062" hidden="1" customWidth="1"/>
    <col min="9" max="9" width="11.33203125" style="2064" hidden="1" customWidth="1"/>
    <col min="10" max="10" width="7.1640625" style="2062" hidden="1" customWidth="1"/>
    <col min="11" max="11" width="7.1640625" style="2064" hidden="1" customWidth="1"/>
    <col min="12" max="12" width="9.6640625" style="2062" hidden="1" customWidth="1"/>
    <col min="13" max="13" width="11.5" style="2064" hidden="1" customWidth="1"/>
    <col min="14" max="14" width="7.5" style="2062" hidden="1" customWidth="1"/>
    <col min="15" max="15" width="7.5" style="2064" hidden="1" customWidth="1"/>
    <col min="16" max="16" width="11.5" style="2064" bestFit="1" customWidth="1"/>
    <col min="17" max="17" width="11.83203125" style="2062" bestFit="1" customWidth="1"/>
    <col min="18" max="18" width="9.6640625" style="2065" bestFit="1" customWidth="1"/>
    <col min="19" max="19" width="11.33203125" style="2062" bestFit="1" customWidth="1"/>
    <col min="20" max="20" width="11.33203125" style="2067" bestFit="1" customWidth="1"/>
    <col min="21" max="21" width="8.83203125" style="2"/>
    <col min="22" max="22" width="10.5" style="2" bestFit="1" customWidth="1"/>
    <col min="23" max="23" width="24" style="2" bestFit="1" customWidth="1"/>
    <col min="24" max="24" width="33.83203125" style="2" customWidth="1"/>
    <col min="25" max="25" width="6.5" style="2" bestFit="1" customWidth="1"/>
    <col min="26" max="16384" width="8.83203125" style="2"/>
  </cols>
  <sheetData>
    <row r="1" spans="1:25" s="1683" customFormat="1" ht="24" x14ac:dyDescent="0.2">
      <c r="A1" s="1912"/>
      <c r="B1" s="2289" t="s">
        <v>725</v>
      </c>
      <c r="C1" s="2289"/>
      <c r="D1" s="2289"/>
      <c r="E1" s="2289"/>
      <c r="F1" s="2289"/>
      <c r="G1" s="2289"/>
      <c r="H1" s="2289"/>
      <c r="I1" s="2289"/>
      <c r="J1" s="2289"/>
      <c r="K1" s="2289"/>
      <c r="L1" s="2289"/>
      <c r="M1" s="2289"/>
      <c r="N1" s="2289"/>
      <c r="O1" s="2289"/>
      <c r="P1" s="2289"/>
      <c r="Q1" s="2289"/>
      <c r="R1" s="2289"/>
      <c r="S1" s="2289"/>
      <c r="T1" s="2289"/>
    </row>
    <row r="2" spans="1:25" s="513" customFormat="1" ht="16" x14ac:dyDescent="0.2">
      <c r="B2" s="2484" t="s">
        <v>412</v>
      </c>
      <c r="C2" s="2485"/>
      <c r="D2" s="2485"/>
      <c r="E2" s="2485"/>
      <c r="F2" s="2485"/>
      <c r="G2" s="2485"/>
      <c r="H2" s="2485"/>
      <c r="I2" s="2485"/>
      <c r="J2" s="2485"/>
      <c r="K2" s="2485"/>
      <c r="L2" s="2485"/>
      <c r="M2" s="2485"/>
      <c r="N2" s="2485"/>
      <c r="O2" s="2485"/>
      <c r="P2" s="2485"/>
      <c r="Q2" s="2485"/>
      <c r="R2" s="2485"/>
      <c r="S2" s="2485"/>
      <c r="T2" s="2486"/>
    </row>
    <row r="3" spans="1:25" s="513" customFormat="1" ht="16" x14ac:dyDescent="0.2">
      <c r="B3" s="1501"/>
      <c r="C3" s="1168"/>
      <c r="D3" s="1168"/>
      <c r="E3" s="1168"/>
      <c r="F3" s="1168"/>
      <c r="G3" s="1168"/>
      <c r="H3" s="1168"/>
      <c r="I3" s="1168"/>
      <c r="J3" s="1168"/>
      <c r="K3" s="1168"/>
      <c r="L3" s="1168"/>
      <c r="M3" s="1168"/>
      <c r="N3" s="1168"/>
      <c r="O3" s="1168"/>
      <c r="P3" s="2483" t="s">
        <v>481</v>
      </c>
      <c r="Q3" s="2483"/>
      <c r="R3" s="2483"/>
      <c r="S3" s="2483"/>
      <c r="T3" s="1502" t="s">
        <v>519</v>
      </c>
    </row>
    <row r="4" spans="1:25" s="513" customFormat="1" ht="38.5" customHeight="1" x14ac:dyDescent="0.2">
      <c r="B4" s="31"/>
      <c r="C4" s="2462" t="s">
        <v>469</v>
      </c>
      <c r="D4" s="2463"/>
      <c r="E4" s="2381" t="s">
        <v>518</v>
      </c>
      <c r="F4" s="2382"/>
      <c r="G4" s="1652"/>
      <c r="H4" s="2381" t="s">
        <v>677</v>
      </c>
      <c r="I4" s="2382"/>
      <c r="J4" s="2381" t="s">
        <v>767</v>
      </c>
      <c r="K4" s="2382"/>
      <c r="L4" s="2381" t="s">
        <v>856</v>
      </c>
      <c r="M4" s="2382"/>
      <c r="N4" s="2381" t="s">
        <v>905</v>
      </c>
      <c r="O4" s="2382"/>
      <c r="P4" s="664">
        <v>2022</v>
      </c>
      <c r="Q4" s="2330" t="s">
        <v>1093</v>
      </c>
      <c r="R4" s="2330"/>
      <c r="S4" s="664">
        <v>2024</v>
      </c>
      <c r="T4" s="664">
        <v>2025</v>
      </c>
    </row>
    <row r="5" spans="1:25" s="2059" customFormat="1" ht="16" x14ac:dyDescent="0.2">
      <c r="B5" s="51"/>
      <c r="C5" s="51"/>
      <c r="D5" s="1538" t="s">
        <v>504</v>
      </c>
      <c r="E5" s="2467" t="s">
        <v>679</v>
      </c>
      <c r="F5" s="2468"/>
      <c r="G5" s="1539"/>
      <c r="H5" s="51"/>
      <c r="I5" s="683" t="s">
        <v>504</v>
      </c>
      <c r="J5" s="2464" t="s">
        <v>679</v>
      </c>
      <c r="K5" s="2464"/>
      <c r="L5" s="51"/>
      <c r="M5" s="1540" t="s">
        <v>504</v>
      </c>
      <c r="N5" s="2464" t="s">
        <v>679</v>
      </c>
      <c r="O5" s="2464"/>
      <c r="P5" s="1540" t="s">
        <v>504</v>
      </c>
      <c r="Q5" s="411"/>
      <c r="R5" s="1541" t="s">
        <v>504</v>
      </c>
      <c r="S5" s="446"/>
      <c r="T5" s="1540" t="s">
        <v>504</v>
      </c>
      <c r="V5" s="1217">
        <v>45293</v>
      </c>
      <c r="W5" s="331" t="s">
        <v>1242</v>
      </c>
      <c r="X5" s="331" t="s">
        <v>1243</v>
      </c>
      <c r="Y5" s="2056">
        <v>50</v>
      </c>
    </row>
    <row r="6" spans="1:25" s="513" customFormat="1" ht="14.5" customHeight="1" x14ac:dyDescent="0.2">
      <c r="B6" s="335" t="s">
        <v>198</v>
      </c>
      <c r="C6" s="51">
        <v>82</v>
      </c>
      <c r="D6" s="1503">
        <v>820</v>
      </c>
      <c r="E6" s="2469"/>
      <c r="F6" s="2470"/>
      <c r="G6" s="1542"/>
      <c r="H6" s="51">
        <v>103</v>
      </c>
      <c r="I6" s="1088">
        <v>1003</v>
      </c>
      <c r="J6" s="2465"/>
      <c r="K6" s="2465"/>
      <c r="L6" s="1088">
        <v>980</v>
      </c>
      <c r="M6" s="2480">
        <f>SUM(L6:L17)</f>
        <v>2880.61</v>
      </c>
      <c r="N6" s="2465"/>
      <c r="O6" s="2465"/>
      <c r="P6" s="1166">
        <v>1092</v>
      </c>
      <c r="Q6" s="2476" t="s">
        <v>990</v>
      </c>
      <c r="R6" s="1166"/>
      <c r="S6" s="1543">
        <v>1262</v>
      </c>
      <c r="T6" s="1088"/>
      <c r="V6" s="1218">
        <v>45312</v>
      </c>
      <c r="W6" s="330" t="s">
        <v>1244</v>
      </c>
      <c r="X6" s="330" t="s">
        <v>1245</v>
      </c>
      <c r="Y6" s="2056">
        <v>-129</v>
      </c>
    </row>
    <row r="7" spans="1:25" s="513" customFormat="1" ht="14.5" customHeight="1" x14ac:dyDescent="0.2">
      <c r="B7" s="335" t="s">
        <v>567</v>
      </c>
      <c r="C7" s="51">
        <v>4</v>
      </c>
      <c r="D7" s="1503">
        <v>0</v>
      </c>
      <c r="E7" s="2469"/>
      <c r="F7" s="2470"/>
      <c r="G7" s="1542"/>
      <c r="H7" s="51"/>
      <c r="I7" s="1088"/>
      <c r="J7" s="2465"/>
      <c r="K7" s="2465"/>
      <c r="L7" s="1088"/>
      <c r="M7" s="2480"/>
      <c r="N7" s="2465"/>
      <c r="O7" s="2465"/>
      <c r="P7" s="1166"/>
      <c r="Q7" s="2477"/>
      <c r="R7" s="1166"/>
      <c r="S7" s="1543"/>
      <c r="T7" s="1088"/>
      <c r="V7" s="1217">
        <v>45313</v>
      </c>
      <c r="W7" s="331" t="s">
        <v>101</v>
      </c>
      <c r="X7" s="331" t="s">
        <v>1246</v>
      </c>
      <c r="Y7" s="2056">
        <v>50</v>
      </c>
    </row>
    <row r="8" spans="1:25" s="513" customFormat="1" ht="14.5" customHeight="1" x14ac:dyDescent="0.2">
      <c r="B8" s="335" t="s">
        <v>568</v>
      </c>
      <c r="C8" s="51">
        <v>80</v>
      </c>
      <c r="D8" s="1503">
        <v>400</v>
      </c>
      <c r="E8" s="2469"/>
      <c r="F8" s="2470"/>
      <c r="G8" s="1542"/>
      <c r="H8" s="51">
        <f>16*6</f>
        <v>96</v>
      </c>
      <c r="I8" s="1088">
        <f>96*5</f>
        <v>480</v>
      </c>
      <c r="J8" s="2465"/>
      <c r="K8" s="2465"/>
      <c r="L8" s="1088">
        <v>520</v>
      </c>
      <c r="M8" s="2480"/>
      <c r="N8" s="2465"/>
      <c r="O8" s="2465"/>
      <c r="P8" s="1166">
        <v>600</v>
      </c>
      <c r="Q8" s="2477"/>
      <c r="R8" s="1166"/>
      <c r="S8" s="1543">
        <v>485</v>
      </c>
      <c r="T8" s="1088"/>
      <c r="V8" s="1218">
        <v>45313</v>
      </c>
      <c r="W8" s="330" t="s">
        <v>1247</v>
      </c>
      <c r="X8" s="330" t="s">
        <v>1243</v>
      </c>
      <c r="Y8" s="2056">
        <v>50</v>
      </c>
    </row>
    <row r="9" spans="1:25" s="513" customFormat="1" ht="14.5" customHeight="1" x14ac:dyDescent="0.2">
      <c r="B9" s="335" t="s">
        <v>166</v>
      </c>
      <c r="C9" s="51" t="s">
        <v>569</v>
      </c>
      <c r="D9" s="1503">
        <v>700</v>
      </c>
      <c r="E9" s="2469"/>
      <c r="F9" s="2470"/>
      <c r="G9" s="1542"/>
      <c r="H9" s="51" t="s">
        <v>581</v>
      </c>
      <c r="I9" s="1088">
        <v>720</v>
      </c>
      <c r="J9" s="2465"/>
      <c r="K9" s="2465"/>
      <c r="L9" s="1088">
        <v>810</v>
      </c>
      <c r="M9" s="2480"/>
      <c r="N9" s="2465"/>
      <c r="O9" s="2465"/>
      <c r="P9" s="1166">
        <v>810</v>
      </c>
      <c r="Q9" s="2477"/>
      <c r="R9" s="1166"/>
      <c r="S9" s="1543">
        <v>750</v>
      </c>
      <c r="T9" s="1088"/>
      <c r="V9" s="1217">
        <v>45313</v>
      </c>
      <c r="W9" s="331" t="s">
        <v>135</v>
      </c>
      <c r="X9" s="331" t="s">
        <v>1243</v>
      </c>
      <c r="Y9" s="2056">
        <v>100</v>
      </c>
    </row>
    <row r="10" spans="1:25" s="513" customFormat="1" ht="14.5" customHeight="1" x14ac:dyDescent="0.2">
      <c r="B10" s="335" t="s">
        <v>166</v>
      </c>
      <c r="C10" s="51" t="s">
        <v>570</v>
      </c>
      <c r="D10" s="1503">
        <v>60</v>
      </c>
      <c r="E10" s="2469"/>
      <c r="F10" s="2470"/>
      <c r="G10" s="1542"/>
      <c r="H10" s="51"/>
      <c r="I10" s="1088"/>
      <c r="J10" s="2465"/>
      <c r="K10" s="2465"/>
      <c r="L10" s="1088"/>
      <c r="M10" s="2480"/>
      <c r="N10" s="2465"/>
      <c r="O10" s="2465"/>
      <c r="P10" s="1166"/>
      <c r="Q10" s="2477"/>
      <c r="R10" s="1166"/>
      <c r="S10" s="1543"/>
      <c r="T10" s="1088"/>
      <c r="V10" s="1218">
        <v>45321</v>
      </c>
      <c r="W10" s="330" t="s">
        <v>1248</v>
      </c>
      <c r="X10" s="330" t="s">
        <v>1243</v>
      </c>
      <c r="Y10" s="2056">
        <v>50</v>
      </c>
    </row>
    <row r="11" spans="1:25" s="513" customFormat="1" ht="14.5" customHeight="1" x14ac:dyDescent="0.2">
      <c r="B11" s="335" t="s">
        <v>571</v>
      </c>
      <c r="C11" s="51"/>
      <c r="D11" s="1503">
        <v>364</v>
      </c>
      <c r="E11" s="2469"/>
      <c r="F11" s="2470"/>
      <c r="G11" s="1542"/>
      <c r="H11" s="338"/>
      <c r="I11" s="1088">
        <v>440</v>
      </c>
      <c r="J11" s="2465"/>
      <c r="K11" s="2465"/>
      <c r="L11" s="1088">
        <v>105</v>
      </c>
      <c r="M11" s="2480"/>
      <c r="N11" s="2465"/>
      <c r="O11" s="2465"/>
      <c r="P11" s="1166">
        <v>250</v>
      </c>
      <c r="Q11" s="2477"/>
      <c r="R11" s="1166"/>
      <c r="S11" s="1543">
        <v>75</v>
      </c>
      <c r="T11" s="1088"/>
      <c r="V11" s="1217">
        <v>45323</v>
      </c>
      <c r="W11" s="331" t="s">
        <v>1228</v>
      </c>
      <c r="X11" s="331" t="s">
        <v>1243</v>
      </c>
      <c r="Y11" s="2056">
        <v>50</v>
      </c>
    </row>
    <row r="12" spans="1:25" s="513" customFormat="1" ht="16" x14ac:dyDescent="0.2">
      <c r="B12" s="12" t="s">
        <v>572</v>
      </c>
      <c r="C12" s="51"/>
      <c r="D12" s="1503">
        <v>170</v>
      </c>
      <c r="E12" s="2469"/>
      <c r="F12" s="2470"/>
      <c r="G12" s="1542"/>
      <c r="H12" s="51" t="s">
        <v>582</v>
      </c>
      <c r="I12" s="1088"/>
      <c r="J12" s="2465"/>
      <c r="K12" s="2465"/>
      <c r="L12" s="1088"/>
      <c r="M12" s="2480"/>
      <c r="N12" s="2465"/>
      <c r="O12" s="2465"/>
      <c r="P12" s="1166"/>
      <c r="Q12" s="2477"/>
      <c r="R12" s="1166"/>
      <c r="S12" s="1543"/>
      <c r="T12" s="1088"/>
      <c r="V12" s="1218">
        <v>45323</v>
      </c>
      <c r="W12" s="330" t="s">
        <v>1249</v>
      </c>
      <c r="X12" s="330" t="s">
        <v>1243</v>
      </c>
      <c r="Y12" s="2056">
        <v>150</v>
      </c>
    </row>
    <row r="13" spans="1:25" s="513" customFormat="1" ht="15" customHeight="1" x14ac:dyDescent="0.2">
      <c r="B13" s="12" t="s">
        <v>573</v>
      </c>
      <c r="C13" s="51"/>
      <c r="D13" s="1503">
        <v>60</v>
      </c>
      <c r="E13" s="2469"/>
      <c r="F13" s="2470"/>
      <c r="G13" s="1542"/>
      <c r="H13" s="51" t="s">
        <v>582</v>
      </c>
      <c r="I13" s="1088"/>
      <c r="J13" s="2465"/>
      <c r="K13" s="2465"/>
      <c r="L13" s="1088"/>
      <c r="M13" s="2480"/>
      <c r="N13" s="2465"/>
      <c r="O13" s="2465"/>
      <c r="P13" s="1166"/>
      <c r="Q13" s="2477"/>
      <c r="R13" s="1166"/>
      <c r="S13" s="1543"/>
      <c r="T13" s="1088"/>
      <c r="V13" s="1217">
        <v>45334</v>
      </c>
      <c r="W13" s="331" t="s">
        <v>1250</v>
      </c>
      <c r="X13" s="331" t="s">
        <v>1243</v>
      </c>
      <c r="Y13" s="2056">
        <v>50</v>
      </c>
    </row>
    <row r="14" spans="1:25" s="513" customFormat="1" ht="14.5" customHeight="1" x14ac:dyDescent="0.2">
      <c r="B14" s="12" t="s">
        <v>575</v>
      </c>
      <c r="C14" s="683"/>
      <c r="D14" s="1503">
        <v>3</v>
      </c>
      <c r="E14" s="2469"/>
      <c r="F14" s="2470"/>
      <c r="G14" s="1542"/>
      <c r="H14" s="683"/>
      <c r="I14" s="1088"/>
      <c r="J14" s="2465"/>
      <c r="K14" s="2465"/>
      <c r="L14" s="1088">
        <v>15</v>
      </c>
      <c r="M14" s="2480"/>
      <c r="N14" s="2465"/>
      <c r="O14" s="2465"/>
      <c r="P14" s="1166"/>
      <c r="Q14" s="2477"/>
      <c r="R14" s="1166"/>
      <c r="S14" s="1543">
        <v>10</v>
      </c>
      <c r="T14" s="1088"/>
      <c r="V14" s="1218">
        <v>45335</v>
      </c>
      <c r="W14" s="330" t="s">
        <v>1251</v>
      </c>
      <c r="X14" s="330" t="s">
        <v>1243</v>
      </c>
      <c r="Y14" s="2056">
        <v>100</v>
      </c>
    </row>
    <row r="15" spans="1:25" s="513" customFormat="1" ht="14.5" customHeight="1" x14ac:dyDescent="0.2">
      <c r="B15" s="12" t="s">
        <v>195</v>
      </c>
      <c r="C15" s="683"/>
      <c r="D15" s="1503">
        <v>305</v>
      </c>
      <c r="E15" s="2469"/>
      <c r="F15" s="2470"/>
      <c r="G15" s="1542"/>
      <c r="H15" s="683"/>
      <c r="I15" s="1088">
        <v>302</v>
      </c>
      <c r="J15" s="2465"/>
      <c r="K15" s="2465"/>
      <c r="L15" s="1088">
        <v>280.01</v>
      </c>
      <c r="M15" s="2480"/>
      <c r="N15" s="2465"/>
      <c r="O15" s="2465"/>
      <c r="P15" s="1166">
        <v>305</v>
      </c>
      <c r="Q15" s="2477"/>
      <c r="R15" s="1166"/>
      <c r="S15" s="1543">
        <v>408</v>
      </c>
      <c r="T15" s="1088"/>
      <c r="V15" s="1217">
        <v>45342</v>
      </c>
      <c r="W15" s="331" t="s">
        <v>71</v>
      </c>
      <c r="X15" s="331" t="s">
        <v>1243</v>
      </c>
      <c r="Y15" s="2056">
        <v>50</v>
      </c>
    </row>
    <row r="16" spans="1:25" s="513" customFormat="1" ht="14.5" customHeight="1" x14ac:dyDescent="0.2">
      <c r="B16" s="13" t="s">
        <v>576</v>
      </c>
      <c r="C16" s="56"/>
      <c r="D16" s="1544">
        <v>162</v>
      </c>
      <c r="E16" s="2469"/>
      <c r="F16" s="2470"/>
      <c r="G16" s="1542"/>
      <c r="H16" s="56"/>
      <c r="I16" s="2474">
        <v>244.4</v>
      </c>
      <c r="J16" s="2465"/>
      <c r="K16" s="2465"/>
      <c r="L16" s="1088">
        <v>170.6</v>
      </c>
      <c r="M16" s="2480"/>
      <c r="N16" s="2465"/>
      <c r="O16" s="2465"/>
      <c r="P16" s="1166">
        <v>207.45</v>
      </c>
      <c r="Q16" s="2477"/>
      <c r="R16" s="1166"/>
      <c r="S16" s="1543">
        <v>232.5</v>
      </c>
      <c r="T16" s="1088"/>
      <c r="V16" s="1218">
        <v>45342</v>
      </c>
      <c r="W16" s="330" t="s">
        <v>1139</v>
      </c>
      <c r="X16" s="330" t="s">
        <v>1252</v>
      </c>
      <c r="Y16" s="2056">
        <v>485</v>
      </c>
    </row>
    <row r="17" spans="2:25" s="513" customFormat="1" ht="14.5" customHeight="1" x14ac:dyDescent="0.2">
      <c r="B17" s="13" t="s">
        <v>574</v>
      </c>
      <c r="C17" s="56"/>
      <c r="D17" s="1544">
        <v>16</v>
      </c>
      <c r="E17" s="2469"/>
      <c r="F17" s="2470"/>
      <c r="G17" s="1542"/>
      <c r="H17" s="56"/>
      <c r="I17" s="2475"/>
      <c r="J17" s="2465"/>
      <c r="K17" s="2465"/>
      <c r="L17" s="1088"/>
      <c r="M17" s="2480"/>
      <c r="N17" s="2465"/>
      <c r="O17" s="2465"/>
      <c r="P17" s="1166">
        <v>17.5</v>
      </c>
      <c r="Q17" s="2477"/>
      <c r="R17" s="1166"/>
      <c r="S17" s="1543">
        <v>18</v>
      </c>
      <c r="T17" s="1088"/>
      <c r="V17" s="1217">
        <v>45342</v>
      </c>
      <c r="W17" s="331" t="s">
        <v>1139</v>
      </c>
      <c r="X17" s="331" t="s">
        <v>1253</v>
      </c>
      <c r="Y17" s="2056">
        <v>975</v>
      </c>
    </row>
    <row r="18" spans="2:25" s="513" customFormat="1" ht="14.5" customHeight="1" x14ac:dyDescent="0.2">
      <c r="B18" s="1374"/>
      <c r="C18" s="59"/>
      <c r="D18" s="1545"/>
      <c r="E18" s="2469"/>
      <c r="F18" s="2470"/>
      <c r="G18" s="1542"/>
      <c r="H18" s="59"/>
      <c r="I18" s="1546"/>
      <c r="J18" s="2465"/>
      <c r="K18" s="2465"/>
      <c r="L18" s="1547"/>
      <c r="M18" s="1546"/>
      <c r="N18" s="2465"/>
      <c r="O18" s="2465"/>
      <c r="P18" s="1546"/>
      <c r="Q18" s="2477"/>
      <c r="R18" s="1166"/>
      <c r="S18" s="1548"/>
      <c r="T18" s="1088"/>
      <c r="V18" s="1218">
        <v>45351</v>
      </c>
      <c r="W18" s="330" t="s">
        <v>117</v>
      </c>
      <c r="X18" s="330" t="s">
        <v>1254</v>
      </c>
      <c r="Y18" s="2056">
        <v>168</v>
      </c>
    </row>
    <row r="19" spans="2:25" s="513" customFormat="1" ht="14.5" customHeight="1" x14ac:dyDescent="0.2">
      <c r="B19" s="1374"/>
      <c r="C19" s="59"/>
      <c r="D19" s="1545"/>
      <c r="E19" s="2469"/>
      <c r="F19" s="2470"/>
      <c r="G19" s="1542"/>
      <c r="H19" s="59"/>
      <c r="I19" s="1546"/>
      <c r="J19" s="2465"/>
      <c r="K19" s="2465"/>
      <c r="L19" s="1547"/>
      <c r="M19" s="1546"/>
      <c r="N19" s="2465"/>
      <c r="O19" s="2465"/>
      <c r="P19" s="1546"/>
      <c r="Q19" s="2477"/>
      <c r="R19" s="1166">
        <v>50</v>
      </c>
      <c r="S19" s="1548"/>
      <c r="T19" s="1088"/>
      <c r="V19" s="1217">
        <v>45357</v>
      </c>
      <c r="W19" s="331" t="s">
        <v>1139</v>
      </c>
      <c r="X19" s="331" t="s">
        <v>1255</v>
      </c>
      <c r="Y19" s="2056">
        <v>-695</v>
      </c>
    </row>
    <row r="20" spans="2:25" s="513" customFormat="1" ht="14.5" customHeight="1" x14ac:dyDescent="0.2">
      <c r="B20" s="1374"/>
      <c r="C20" s="59"/>
      <c r="D20" s="1545"/>
      <c r="E20" s="2469"/>
      <c r="F20" s="2470"/>
      <c r="G20" s="1542"/>
      <c r="H20" s="59"/>
      <c r="I20" s="1546"/>
      <c r="J20" s="2465"/>
      <c r="K20" s="2465"/>
      <c r="L20" s="1547"/>
      <c r="M20" s="1546"/>
      <c r="N20" s="2465"/>
      <c r="O20" s="2465"/>
      <c r="P20" s="1546"/>
      <c r="Q20" s="2477"/>
      <c r="R20" s="1166"/>
      <c r="S20" s="1548"/>
      <c r="T20" s="1088"/>
      <c r="V20" s="1218">
        <v>45362</v>
      </c>
      <c r="W20" s="330" t="s">
        <v>100</v>
      </c>
      <c r="X20" s="330" t="s">
        <v>1256</v>
      </c>
      <c r="Y20" s="2056">
        <v>-184.91</v>
      </c>
    </row>
    <row r="21" spans="2:25" s="513" customFormat="1" ht="15" customHeight="1" thickBot="1" x14ac:dyDescent="0.25">
      <c r="B21" s="1374"/>
      <c r="C21" s="59"/>
      <c r="D21" s="1545"/>
      <c r="E21" s="2469"/>
      <c r="F21" s="2470"/>
      <c r="G21" s="1542"/>
      <c r="H21" s="59"/>
      <c r="I21" s="1546"/>
      <c r="J21" s="2465"/>
      <c r="K21" s="2465"/>
      <c r="L21" s="1547"/>
      <c r="M21" s="1546"/>
      <c r="N21" s="2465"/>
      <c r="O21" s="2465"/>
      <c r="P21" s="1546"/>
      <c r="Q21" s="2478"/>
      <c r="R21" s="1549"/>
      <c r="S21" s="1548"/>
      <c r="T21" s="1088"/>
      <c r="V21" s="1217">
        <v>45362</v>
      </c>
      <c r="W21" s="331" t="s">
        <v>117</v>
      </c>
      <c r="X21" s="331" t="s">
        <v>1257</v>
      </c>
      <c r="Y21" s="2056">
        <v>-99.13</v>
      </c>
    </row>
    <row r="22" spans="2:25" s="513" customFormat="1" ht="17" thickBot="1" x14ac:dyDescent="0.25">
      <c r="B22" s="1550"/>
      <c r="C22" s="1551"/>
      <c r="D22" s="1552">
        <f>SUM(D6:D17)</f>
        <v>3060</v>
      </c>
      <c r="E22" s="2469"/>
      <c r="F22" s="2470"/>
      <c r="G22" s="1553"/>
      <c r="H22" s="1551"/>
      <c r="I22" s="1554">
        <f>SUM(I6:I17)</f>
        <v>3189.4</v>
      </c>
      <c r="J22" s="2465"/>
      <c r="K22" s="2465"/>
      <c r="L22" s="1551"/>
      <c r="M22" s="1555">
        <f>SUM(M6:M17)</f>
        <v>2880.61</v>
      </c>
      <c r="N22" s="2465"/>
      <c r="O22" s="2465"/>
      <c r="P22" s="1555">
        <f>SUM(P6:P17)</f>
        <v>3281.95</v>
      </c>
      <c r="Q22" s="1551"/>
      <c r="R22" s="1556">
        <f>SUM(R6:R21)</f>
        <v>50</v>
      </c>
      <c r="S22" s="1557">
        <f>SUM(S6:S21)</f>
        <v>3240.5</v>
      </c>
      <c r="T22" s="1556">
        <f>SUM(T6:T21)</f>
        <v>0</v>
      </c>
      <c r="V22" s="1218">
        <v>45365</v>
      </c>
      <c r="W22" s="330" t="s">
        <v>1170</v>
      </c>
      <c r="X22" s="330" t="s">
        <v>1258</v>
      </c>
      <c r="Y22" s="2056">
        <v>10</v>
      </c>
    </row>
    <row r="23" spans="2:25" s="513" customFormat="1" ht="14.5" customHeight="1" x14ac:dyDescent="0.2">
      <c r="B23" s="1558" t="s">
        <v>167</v>
      </c>
      <c r="C23" s="433"/>
      <c r="D23" s="1559">
        <v>-300</v>
      </c>
      <c r="E23" s="2469"/>
      <c r="F23" s="2470"/>
      <c r="G23" s="1542"/>
      <c r="H23" s="433"/>
      <c r="I23" s="1560">
        <v>-360</v>
      </c>
      <c r="J23" s="2465"/>
      <c r="K23" s="2465"/>
      <c r="L23" s="1560">
        <v>-390</v>
      </c>
      <c r="M23" s="2481">
        <f>SUM(L23:L30)</f>
        <v>-844.40599999999995</v>
      </c>
      <c r="N23" s="2465"/>
      <c r="O23" s="2465"/>
      <c r="P23" s="1561">
        <v>-375</v>
      </c>
      <c r="Q23" s="2479"/>
      <c r="R23" s="1562"/>
      <c r="S23" s="1493">
        <v>-195</v>
      </c>
      <c r="T23" s="1560"/>
      <c r="V23" s="1217">
        <v>45365</v>
      </c>
      <c r="W23" s="331" t="s">
        <v>1139</v>
      </c>
      <c r="X23" s="331" t="s">
        <v>1259</v>
      </c>
      <c r="Y23" s="2056">
        <v>18</v>
      </c>
    </row>
    <row r="24" spans="2:25" s="513" customFormat="1" ht="14.5" customHeight="1" x14ac:dyDescent="0.2">
      <c r="B24" s="467" t="s">
        <v>168</v>
      </c>
      <c r="C24" s="56"/>
      <c r="D24" s="1503">
        <v>-174</v>
      </c>
      <c r="E24" s="2469"/>
      <c r="F24" s="2470"/>
      <c r="G24" s="1542"/>
      <c r="H24" s="56"/>
      <c r="I24" s="1088">
        <v>-158.91999999999999</v>
      </c>
      <c r="J24" s="2465"/>
      <c r="K24" s="2465"/>
      <c r="L24" s="1560">
        <v>-194.886</v>
      </c>
      <c r="M24" s="2475"/>
      <c r="N24" s="2465"/>
      <c r="O24" s="2465"/>
      <c r="P24" s="1228">
        <v>-205.18</v>
      </c>
      <c r="Q24" s="2477"/>
      <c r="R24" s="1563" t="s">
        <v>1266</v>
      </c>
      <c r="S24" s="1493">
        <v>-284.04000000000002</v>
      </c>
      <c r="T24" s="1088"/>
      <c r="V24" s="1218">
        <v>45365</v>
      </c>
      <c r="W24" s="330" t="s">
        <v>1139</v>
      </c>
      <c r="X24" s="330" t="s">
        <v>1260</v>
      </c>
      <c r="Y24" s="2056">
        <v>75</v>
      </c>
    </row>
    <row r="25" spans="2:25" s="513" customFormat="1" ht="14.5" customHeight="1" x14ac:dyDescent="0.2">
      <c r="B25" s="467" t="s">
        <v>577</v>
      </c>
      <c r="C25" s="56"/>
      <c r="D25" s="1503">
        <v>-15</v>
      </c>
      <c r="E25" s="2469"/>
      <c r="F25" s="2470"/>
      <c r="G25" s="1542"/>
      <c r="H25" s="56"/>
      <c r="I25" s="1088">
        <v>-8.64</v>
      </c>
      <c r="J25" s="2465"/>
      <c r="K25" s="2465"/>
      <c r="L25" s="1560">
        <v>-8.64</v>
      </c>
      <c r="M25" s="2475"/>
      <c r="N25" s="2465"/>
      <c r="O25" s="2465"/>
      <c r="P25" s="1228"/>
      <c r="Q25" s="2477"/>
      <c r="R25" s="1562"/>
      <c r="S25" s="1493"/>
      <c r="T25" s="1088"/>
      <c r="V25" s="1217">
        <v>45365</v>
      </c>
      <c r="W25" s="331" t="s">
        <v>1139</v>
      </c>
      <c r="X25" s="331" t="s">
        <v>1261</v>
      </c>
      <c r="Y25" s="2056">
        <v>119</v>
      </c>
    </row>
    <row r="26" spans="2:25" s="513" customFormat="1" ht="14.5" customHeight="1" x14ac:dyDescent="0.2">
      <c r="B26" s="335" t="s">
        <v>578</v>
      </c>
      <c r="C26" s="51"/>
      <c r="D26" s="1503">
        <v>-129</v>
      </c>
      <c r="E26" s="2469"/>
      <c r="F26" s="2470"/>
      <c r="G26" s="1542"/>
      <c r="H26" s="51" t="s">
        <v>583</v>
      </c>
      <c r="I26" s="1088">
        <v>-129</v>
      </c>
      <c r="J26" s="2465"/>
      <c r="K26" s="2465"/>
      <c r="L26" s="1560">
        <v>-119</v>
      </c>
      <c r="M26" s="2475"/>
      <c r="N26" s="2465"/>
      <c r="O26" s="2465"/>
      <c r="P26" s="1228">
        <v>-129</v>
      </c>
      <c r="Q26" s="2477"/>
      <c r="R26" s="1562"/>
      <c r="S26" s="1493">
        <v>-129</v>
      </c>
      <c r="T26" s="1088"/>
      <c r="V26" s="1218">
        <v>45365</v>
      </c>
      <c r="W26" s="330" t="s">
        <v>1139</v>
      </c>
      <c r="X26" s="330" t="s">
        <v>1262</v>
      </c>
      <c r="Y26" s="2056">
        <v>232.5</v>
      </c>
    </row>
    <row r="27" spans="2:25" s="513" customFormat="1" ht="14.5" customHeight="1" x14ac:dyDescent="0.2">
      <c r="B27" s="335" t="s">
        <v>650</v>
      </c>
      <c r="C27" s="56"/>
      <c r="D27" s="1503"/>
      <c r="E27" s="2469"/>
      <c r="F27" s="2470"/>
      <c r="G27" s="1542"/>
      <c r="H27" s="56"/>
      <c r="I27" s="1088">
        <v>-21.04</v>
      </c>
      <c r="J27" s="2465"/>
      <c r="K27" s="2465"/>
      <c r="L27" s="1560"/>
      <c r="M27" s="2475"/>
      <c r="N27" s="2465"/>
      <c r="O27" s="2465"/>
      <c r="P27" s="1228"/>
      <c r="Q27" s="2477"/>
      <c r="R27" s="1562"/>
      <c r="S27" s="1493"/>
      <c r="T27" s="1088"/>
      <c r="V27" s="1217">
        <v>45365</v>
      </c>
      <c r="W27" s="331" t="s">
        <v>1139</v>
      </c>
      <c r="X27" s="331" t="s">
        <v>195</v>
      </c>
      <c r="Y27" s="2056">
        <v>408</v>
      </c>
    </row>
    <row r="28" spans="2:25" s="513" customFormat="1" ht="14.5" customHeight="1" x14ac:dyDescent="0.2">
      <c r="B28" s="12" t="s">
        <v>579</v>
      </c>
      <c r="C28" s="56"/>
      <c r="D28" s="1503">
        <v>-17</v>
      </c>
      <c r="E28" s="2469"/>
      <c r="F28" s="2470"/>
      <c r="G28" s="1542"/>
      <c r="H28" s="56"/>
      <c r="I28" s="1088"/>
      <c r="J28" s="2465"/>
      <c r="K28" s="2465"/>
      <c r="L28" s="1560"/>
      <c r="M28" s="2475"/>
      <c r="N28" s="2465"/>
      <c r="O28" s="2465"/>
      <c r="P28" s="1228"/>
      <c r="Q28" s="2477"/>
      <c r="R28" s="1562"/>
      <c r="S28" s="1493"/>
      <c r="T28" s="1088"/>
      <c r="V28" s="1218">
        <v>45365</v>
      </c>
      <c r="W28" s="330" t="s">
        <v>1139</v>
      </c>
      <c r="X28" s="330" t="s">
        <v>1263</v>
      </c>
      <c r="Y28" s="2056">
        <v>500</v>
      </c>
    </row>
    <row r="29" spans="2:25" s="513" customFormat="1" ht="14.5" customHeight="1" x14ac:dyDescent="0.2">
      <c r="B29" s="335" t="s">
        <v>570</v>
      </c>
      <c r="C29" s="56"/>
      <c r="D29" s="1503">
        <v>-144</v>
      </c>
      <c r="E29" s="2469"/>
      <c r="F29" s="2470"/>
      <c r="G29" s="1542"/>
      <c r="H29" s="56"/>
      <c r="I29" s="1088">
        <v>-119.88</v>
      </c>
      <c r="J29" s="2465"/>
      <c r="K29" s="2465"/>
      <c r="L29" s="1560">
        <v>-131.88</v>
      </c>
      <c r="M29" s="2475"/>
      <c r="N29" s="2465"/>
      <c r="O29" s="2465"/>
      <c r="P29" s="1228">
        <v>-182</v>
      </c>
      <c r="Q29" s="2477"/>
      <c r="R29" s="1562"/>
      <c r="S29" s="1493"/>
      <c r="T29" s="1088"/>
      <c r="V29" s="1217">
        <v>45366</v>
      </c>
      <c r="W29" s="331" t="s">
        <v>1207</v>
      </c>
      <c r="X29" s="331" t="s">
        <v>1243</v>
      </c>
      <c r="Y29" s="2056">
        <v>0</v>
      </c>
    </row>
    <row r="30" spans="2:25" s="513" customFormat="1" ht="15" customHeight="1" thickBot="1" x14ac:dyDescent="0.25">
      <c r="B30" s="335" t="s">
        <v>580</v>
      </c>
      <c r="C30" s="56"/>
      <c r="D30" s="1503">
        <v>-34</v>
      </c>
      <c r="E30" s="2469"/>
      <c r="F30" s="2470"/>
      <c r="G30" s="1542"/>
      <c r="H30" s="56"/>
      <c r="I30" s="1088"/>
      <c r="J30" s="2465"/>
      <c r="K30" s="2465"/>
      <c r="L30" s="1560"/>
      <c r="M30" s="2482"/>
      <c r="N30" s="2465"/>
      <c r="O30" s="2465"/>
      <c r="P30" s="1564">
        <v>-5</v>
      </c>
      <c r="Q30" s="2478"/>
      <c r="R30" s="1565"/>
      <c r="S30" s="1566"/>
      <c r="T30" s="1567"/>
      <c r="V30" s="1218">
        <v>45370</v>
      </c>
      <c r="W30" s="330" t="s">
        <v>1264</v>
      </c>
      <c r="X30" s="330" t="s">
        <v>1265</v>
      </c>
      <c r="Y30" s="2056">
        <v>50</v>
      </c>
    </row>
    <row r="31" spans="2:25" s="513" customFormat="1" ht="18" thickTop="1" thickBot="1" x14ac:dyDescent="0.25">
      <c r="B31" s="1568"/>
      <c r="C31" s="1568"/>
      <c r="D31" s="1569">
        <f>SUM(D23:D30)</f>
        <v>-813</v>
      </c>
      <c r="E31" s="2469"/>
      <c r="F31" s="2470"/>
      <c r="G31" s="1553"/>
      <c r="H31" s="1568"/>
      <c r="I31" s="1556">
        <f>SUM(I23:I30)</f>
        <v>-797.4799999999999</v>
      </c>
      <c r="J31" s="2465"/>
      <c r="K31" s="2465"/>
      <c r="L31" s="1568"/>
      <c r="M31" s="1556">
        <f>SUM(M23:M30)</f>
        <v>-844.40599999999995</v>
      </c>
      <c r="N31" s="2465"/>
      <c r="O31" s="2465"/>
      <c r="P31" s="1570">
        <f>SUM(P23:P30)</f>
        <v>-896.18000000000006</v>
      </c>
      <c r="Q31" s="1568"/>
      <c r="R31" s="1571">
        <f>SUM(R23:R30)</f>
        <v>0</v>
      </c>
      <c r="S31" s="1572">
        <f>SUM(S23:S30)</f>
        <v>-608.04</v>
      </c>
      <c r="T31" s="1570">
        <f>SUM(T23:T30)</f>
        <v>0</v>
      </c>
      <c r="V31" s="2060"/>
      <c r="W31" s="2060"/>
      <c r="X31" s="2060"/>
      <c r="Y31" s="2061">
        <f>SUM(Y5:Y30)</f>
        <v>2632.46</v>
      </c>
    </row>
    <row r="32" spans="2:25" s="513" customFormat="1" ht="18" thickTop="1" thickBot="1" x14ac:dyDescent="0.25">
      <c r="B32" s="1653"/>
      <c r="C32" s="1573"/>
      <c r="D32" s="1574"/>
      <c r="E32" s="2469"/>
      <c r="F32" s="2470"/>
      <c r="G32" s="1575"/>
      <c r="H32" s="1573"/>
      <c r="I32" s="1576"/>
      <c r="J32" s="2465"/>
      <c r="K32" s="2465"/>
      <c r="L32" s="1573"/>
      <c r="M32" s="1576"/>
      <c r="N32" s="2465"/>
      <c r="O32" s="2465"/>
      <c r="P32" s="1577"/>
      <c r="Q32" s="1568"/>
      <c r="R32" s="1571"/>
      <c r="S32" s="1578"/>
      <c r="T32" s="1579"/>
    </row>
    <row r="33" spans="2:20" s="513" customFormat="1" ht="17" thickTop="1" x14ac:dyDescent="0.2">
      <c r="B33" s="2460" t="s">
        <v>564</v>
      </c>
      <c r="C33" s="2461"/>
      <c r="D33" s="1580">
        <f>+D22+D31</f>
        <v>2247</v>
      </c>
      <c r="E33" s="2469"/>
      <c r="F33" s="2470"/>
      <c r="G33" s="1581"/>
      <c r="H33" s="1582"/>
      <c r="I33" s="1583">
        <f>+I31+I22</f>
        <v>2391.92</v>
      </c>
      <c r="J33" s="2465"/>
      <c r="K33" s="2465"/>
      <c r="L33" s="1582"/>
      <c r="M33" s="1584">
        <f>+M31+M22</f>
        <v>2036.2040000000002</v>
      </c>
      <c r="N33" s="2465"/>
      <c r="O33" s="2465"/>
      <c r="P33" s="1585"/>
      <c r="Q33" s="51"/>
      <c r="R33" s="1586"/>
      <c r="S33" s="1587"/>
      <c r="T33" s="1588">
        <v>0</v>
      </c>
    </row>
    <row r="34" spans="2:20" s="513" customFormat="1" ht="17" thickBot="1" x14ac:dyDescent="0.25">
      <c r="B34" s="2473" t="s">
        <v>558</v>
      </c>
      <c r="C34" s="2473"/>
      <c r="D34" s="1589">
        <f>SUM(D33:D33)</f>
        <v>2247</v>
      </c>
      <c r="E34" s="2471"/>
      <c r="F34" s="2472"/>
      <c r="G34" s="1590"/>
      <c r="H34" s="60"/>
      <c r="I34" s="1591">
        <f>SUM(I33:I33)</f>
        <v>2391.92</v>
      </c>
      <c r="J34" s="2466"/>
      <c r="K34" s="2466"/>
      <c r="L34" s="60"/>
      <c r="M34" s="1592"/>
      <c r="N34" s="2466"/>
      <c r="O34" s="2466"/>
      <c r="P34" s="1591">
        <f>+P31+P22</f>
        <v>2385.7699999999995</v>
      </c>
      <c r="Q34" s="1591"/>
      <c r="R34" s="1593">
        <f>+R31+R22</f>
        <v>50</v>
      </c>
      <c r="S34" s="1594">
        <f>+S31+S22</f>
        <v>2632.46</v>
      </c>
      <c r="T34" s="1440">
        <f>+T31+T22+T33</f>
        <v>0</v>
      </c>
    </row>
    <row r="35" spans="2:20" ht="16" thickTop="1" x14ac:dyDescent="0.2">
      <c r="S35" s="2066"/>
    </row>
  </sheetData>
  <mergeCells count="20">
    <mergeCell ref="B1:T1"/>
    <mergeCell ref="M6:M17"/>
    <mergeCell ref="M23:M30"/>
    <mergeCell ref="N4:O4"/>
    <mergeCell ref="P3:S3"/>
    <mergeCell ref="B2:T2"/>
    <mergeCell ref="B33:C33"/>
    <mergeCell ref="C4:D4"/>
    <mergeCell ref="Q4:R4"/>
    <mergeCell ref="N5:O34"/>
    <mergeCell ref="J5:K34"/>
    <mergeCell ref="E4:F4"/>
    <mergeCell ref="E5:F34"/>
    <mergeCell ref="B34:C34"/>
    <mergeCell ref="H4:I4"/>
    <mergeCell ref="I16:I17"/>
    <mergeCell ref="J4:K4"/>
    <mergeCell ref="L4:M4"/>
    <mergeCell ref="Q6:Q21"/>
    <mergeCell ref="Q23:Q30"/>
  </mergeCells>
  <conditionalFormatting sqref="A1:B1">
    <cfRule type="cellIs" dxfId="90" priority="79" operator="equal">
      <formula>0</formula>
    </cfRule>
  </conditionalFormatting>
  <conditionalFormatting sqref="B11:B21 Q22:T22 Q23:S23 Q31:T32">
    <cfRule type="cellIs" dxfId="89" priority="132" operator="lessThan">
      <formula>0</formula>
    </cfRule>
  </conditionalFormatting>
  <conditionalFormatting sqref="B34">
    <cfRule type="cellIs" dxfId="88" priority="111" operator="lessThan">
      <formula>0</formula>
    </cfRule>
  </conditionalFormatting>
  <conditionalFormatting sqref="B5:D33 P5:T5 P31:T32 P22:T22 P23:S23 G5:G33">
    <cfRule type="containsText" dxfId="87" priority="112" operator="containsText" text="(blank)">
      <formula>NOT(ISERROR(SEARCH("(blank)",B5)))</formula>
    </cfRule>
  </conditionalFormatting>
  <conditionalFormatting sqref="B22:D32">
    <cfRule type="cellIs" dxfId="86" priority="130" operator="lessThan">
      <formula>0</formula>
    </cfRule>
  </conditionalFormatting>
  <conditionalFormatting sqref="B34:D34">
    <cfRule type="containsText" dxfId="85" priority="106" operator="containsText" text="(blank)">
      <formula>NOT(ISERROR(SEARCH("(blank)",B34)))</formula>
    </cfRule>
  </conditionalFormatting>
  <conditionalFormatting sqref="C12:C14">
    <cfRule type="cellIs" dxfId="84" priority="134" operator="lessThan">
      <formula>0</formula>
    </cfRule>
  </conditionalFormatting>
  <conditionalFormatting sqref="D12:D21">
    <cfRule type="cellIs" dxfId="83" priority="131" operator="lessThan">
      <formula>0</formula>
    </cfRule>
  </conditionalFormatting>
  <conditionalFormatting sqref="D33:D34">
    <cfRule type="cellIs" dxfId="82" priority="107" operator="lessThan">
      <formula>0</formula>
    </cfRule>
  </conditionalFormatting>
  <conditionalFormatting sqref="D34">
    <cfRule type="cellIs" dxfId="81" priority="105" operator="lessThan">
      <formula>0</formula>
    </cfRule>
  </conditionalFormatting>
  <conditionalFormatting sqref="E5">
    <cfRule type="containsText" dxfId="80" priority="37" operator="containsText" text="(blank)">
      <formula>NOT(ISERROR(SEARCH("(blank)",E5)))</formula>
    </cfRule>
    <cfRule type="cellIs" dxfId="79" priority="38" operator="lessThan">
      <formula>0</formula>
    </cfRule>
  </conditionalFormatting>
  <conditionalFormatting sqref="G5:G33">
    <cfRule type="cellIs" dxfId="78" priority="114" operator="lessThan">
      <formula>0</formula>
    </cfRule>
  </conditionalFormatting>
  <conditionalFormatting sqref="H5:H14">
    <cfRule type="cellIs" dxfId="77" priority="91" operator="lessThan">
      <formula>0</formula>
    </cfRule>
  </conditionalFormatting>
  <conditionalFormatting sqref="H17:H26 I22:I26 H27:I27 H28:H32">
    <cfRule type="cellIs" dxfId="76" priority="96" operator="lessThan">
      <formula>0</formula>
    </cfRule>
  </conditionalFormatting>
  <conditionalFormatting sqref="H5:I16 H17:H21">
    <cfRule type="containsText" dxfId="75" priority="93" operator="containsText" text="(blank)">
      <formula>NOT(ISERROR(SEARCH("(blank)",H5)))</formula>
    </cfRule>
  </conditionalFormatting>
  <conditionalFormatting sqref="H22:I33">
    <cfRule type="containsText" dxfId="74" priority="88" operator="containsText" text="(blank)">
      <formula>NOT(ISERROR(SEARCH("(blank)",H22)))</formula>
    </cfRule>
  </conditionalFormatting>
  <conditionalFormatting sqref="I5:I16">
    <cfRule type="cellIs" dxfId="73" priority="94" operator="lessThan">
      <formula>0</formula>
    </cfRule>
  </conditionalFormatting>
  <conditionalFormatting sqref="I28:I33">
    <cfRule type="cellIs" dxfId="72" priority="89" operator="lessThan">
      <formula>0</formula>
    </cfRule>
  </conditionalFormatting>
  <conditionalFormatting sqref="I33:I34">
    <cfRule type="cellIs" dxfId="71" priority="86" operator="lessThan">
      <formula>0</formula>
    </cfRule>
  </conditionalFormatting>
  <conditionalFormatting sqref="I34">
    <cfRule type="cellIs" dxfId="70" priority="84" operator="lessThan">
      <formula>0</formula>
    </cfRule>
    <cfRule type="containsText" dxfId="69" priority="85" operator="containsText" text="(blank)">
      <formula>NOT(ISERROR(SEARCH("(blank)",I34)))</formula>
    </cfRule>
  </conditionalFormatting>
  <conditionalFormatting sqref="J5">
    <cfRule type="containsText" dxfId="68" priority="39" operator="containsText" text="(blank)">
      <formula>NOT(ISERROR(SEARCH("(blank)",J5)))</formula>
    </cfRule>
    <cfRule type="cellIs" dxfId="67" priority="40" operator="lessThan">
      <formula>0</formula>
    </cfRule>
  </conditionalFormatting>
  <conditionalFormatting sqref="L5:L21">
    <cfRule type="cellIs" dxfId="66" priority="56" operator="lessThan">
      <formula>0</formula>
    </cfRule>
  </conditionalFormatting>
  <conditionalFormatting sqref="L6:L21">
    <cfRule type="containsText" dxfId="65" priority="55" operator="containsText" text="(blank)">
      <formula>NOT(ISERROR(SEARCH("(blank)",L6)))</formula>
    </cfRule>
  </conditionalFormatting>
  <conditionalFormatting sqref="L23:L30">
    <cfRule type="containsText" dxfId="64" priority="53" operator="containsText" text="(blank)">
      <formula>NOT(ISERROR(SEARCH("(blank)",L23)))</formula>
    </cfRule>
    <cfRule type="cellIs" dxfId="63" priority="54" operator="lessThan">
      <formula>0</formula>
    </cfRule>
  </conditionalFormatting>
  <conditionalFormatting sqref="L31:M33 L5:M5 L22:M22 M23">
    <cfRule type="containsText" dxfId="62" priority="67" operator="containsText" text="(blank)">
      <formula>NOT(ISERROR(SEARCH("(blank)",L5)))</formula>
    </cfRule>
  </conditionalFormatting>
  <conditionalFormatting sqref="M5 L22 M22:M23 L31:L32 M31:M33">
    <cfRule type="cellIs" dxfId="61" priority="68" operator="lessThan">
      <formula>0</formula>
    </cfRule>
  </conditionalFormatting>
  <conditionalFormatting sqref="M33">
    <cfRule type="cellIs" dxfId="60" priority="62" operator="lessThan">
      <formula>0</formula>
    </cfRule>
  </conditionalFormatting>
  <conditionalFormatting sqref="N5">
    <cfRule type="containsText" dxfId="59" priority="51" operator="containsText" text="(blank)">
      <formula>NOT(ISERROR(SEARCH("(blank)",N5)))</formula>
    </cfRule>
    <cfRule type="cellIs" dxfId="58" priority="52" operator="lessThan">
      <formula>0</formula>
    </cfRule>
  </conditionalFormatting>
  <conditionalFormatting sqref="P22:P23">
    <cfRule type="cellIs" dxfId="57" priority="28" operator="lessThan">
      <formula>0</formula>
    </cfRule>
  </conditionalFormatting>
  <conditionalFormatting sqref="P34">
    <cfRule type="cellIs" dxfId="56" priority="8" operator="lessThan">
      <formula>0</formula>
    </cfRule>
    <cfRule type="containsText" dxfId="55" priority="9" operator="containsText" text="(blank)">
      <formula>NOT(ISERROR(SEARCH("(blank)",P34)))</formula>
    </cfRule>
  </conditionalFormatting>
  <conditionalFormatting sqref="P5:Q5 P31:P32">
    <cfRule type="cellIs" dxfId="54" priority="36" operator="lessThan">
      <formula>0</formula>
    </cfRule>
  </conditionalFormatting>
  <conditionalFormatting sqref="P34:Q34">
    <cfRule type="cellIs" dxfId="53" priority="10" operator="lessThan">
      <formula>0</formula>
    </cfRule>
  </conditionalFormatting>
  <conditionalFormatting sqref="Q33">
    <cfRule type="cellIs" dxfId="52" priority="115" operator="lessThan">
      <formula>0</formula>
    </cfRule>
  </conditionalFormatting>
  <conditionalFormatting sqref="Q33:Q34">
    <cfRule type="containsText" dxfId="51" priority="12" operator="containsText" text="(blank)">
      <formula>NOT(ISERROR(SEARCH("(blank)",Q33)))</formula>
    </cfRule>
  </conditionalFormatting>
  <conditionalFormatting sqref="Q34:T34">
    <cfRule type="cellIs" dxfId="50" priority="101" operator="lessThan">
      <formula>0</formula>
    </cfRule>
  </conditionalFormatting>
  <conditionalFormatting sqref="R5 T5 B5:D10 C11:D11 C17:C21 B33 D33">
    <cfRule type="cellIs" dxfId="49" priority="135" operator="lessThan">
      <formula>0</formula>
    </cfRule>
  </conditionalFormatting>
  <conditionalFormatting sqref="R34:T34">
    <cfRule type="containsText" dxfId="48" priority="2" operator="containsText" text="(blank)">
      <formula>NOT(ISERROR(SEARCH("(blank)",R34)))</formula>
    </cfRule>
  </conditionalFormatting>
  <conditionalFormatting sqref="S5">
    <cfRule type="cellIs" dxfId="47" priority="3" operator="lessThan">
      <formula>0</formula>
    </cfRule>
  </conditionalFormatting>
  <conditionalFormatting sqref="S33">
    <cfRule type="containsText" dxfId="46" priority="6" operator="containsText" text="(blank)">
      <formula>NOT(ISERROR(SEARCH("(blank)",S33)))</formula>
    </cfRule>
    <cfRule type="cellIs" dxfId="45" priority="7" operator="lessThan">
      <formula>0</formula>
    </cfRule>
  </conditionalFormatting>
  <conditionalFormatting sqref="S34">
    <cfRule type="cellIs" dxfId="44" priority="1" operator="lessThan">
      <formula>0</formula>
    </cfRule>
  </conditionalFormatting>
  <conditionalFormatting sqref="T34">
    <cfRule type="cellIs" dxfId="43" priority="5" operator="lessThan">
      <formula>0</formula>
    </cfRule>
  </conditionalFormatting>
  <hyperlinks>
    <hyperlink ref="B1" location="Summary!A1" display="Summary!A1" xr:uid="{D852D9DC-4637-407A-A186-4270A06D6CAB}"/>
    <hyperlink ref="T34" location="Summary!T40" display="Summary!T40" xr:uid="{121D087A-F902-460A-BDF6-89F4C3A7F2C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FF00"/>
    <pageSetUpPr fitToPage="1"/>
  </sheetPr>
  <dimension ref="A1:Z87"/>
  <sheetViews>
    <sheetView zoomScaleNormal="100" zoomScaleSheetLayoutView="85" workbookViewId="0">
      <pane xSplit="11" ySplit="4" topLeftCell="L27" activePane="bottomRight" state="frozen"/>
      <selection activeCell="L17" sqref="L17"/>
      <selection pane="topRight" activeCell="L17" sqref="L17"/>
      <selection pane="bottomLeft" activeCell="L17" sqref="L17"/>
      <selection pane="bottomRight" activeCell="L17" sqref="L17"/>
    </sheetView>
  </sheetViews>
  <sheetFormatPr baseColWidth="10" defaultColWidth="13" defaultRowHeight="15" x14ac:dyDescent="0.2"/>
  <cols>
    <col min="1" max="1" width="3.1640625" style="1345" customWidth="1"/>
    <col min="2" max="2" width="23.6640625" style="1345" bestFit="1" customWidth="1"/>
    <col min="3" max="3" width="7.83203125" style="2" bestFit="1" customWidth="1"/>
    <col min="4" max="4" width="6.5" style="2" hidden="1" customWidth="1"/>
    <col min="5" max="7" width="5.6640625" style="2" hidden="1" customWidth="1"/>
    <col min="8" max="8" width="5" style="2" hidden="1" customWidth="1"/>
    <col min="9" max="9" width="5.6640625" style="2" hidden="1" customWidth="1"/>
    <col min="10" max="11" width="5" style="2" hidden="1" customWidth="1"/>
    <col min="12" max="12" width="8.1640625" style="2" customWidth="1"/>
    <col min="13" max="15" width="8.1640625" style="1927" customWidth="1"/>
    <col min="16" max="16" width="13" style="1345"/>
    <col min="17" max="17" width="10.5" style="1345" bestFit="1" customWidth="1"/>
    <col min="18" max="18" width="23.1640625" style="1345" bestFit="1" customWidth="1"/>
    <col min="19" max="19" width="36" style="1345" customWidth="1"/>
    <col min="20" max="20" width="6.1640625" style="1345" bestFit="1" customWidth="1"/>
    <col min="21" max="21" width="13" style="1345" customWidth="1"/>
    <col min="22" max="23" width="13" style="2019" customWidth="1"/>
    <col min="24" max="16384" width="13" style="1345"/>
  </cols>
  <sheetData>
    <row r="1" spans="1:26" s="2019" customFormat="1" ht="48" x14ac:dyDescent="0.2">
      <c r="A1" s="1912"/>
      <c r="B1" s="2289" t="s">
        <v>725</v>
      </c>
      <c r="C1" s="2289"/>
      <c r="D1" s="2289"/>
      <c r="E1" s="2289"/>
      <c r="F1" s="2289"/>
      <c r="G1" s="2289"/>
      <c r="H1" s="2289"/>
      <c r="I1" s="2289"/>
      <c r="J1" s="2289"/>
      <c r="K1" s="2289"/>
      <c r="L1" s="2289"/>
      <c r="M1" s="2289"/>
      <c r="N1" s="2289"/>
      <c r="O1" s="2289"/>
      <c r="U1" s="1436" t="s">
        <v>200</v>
      </c>
      <c r="V1" s="1436" t="s">
        <v>1446</v>
      </c>
      <c r="W1" s="1436" t="s">
        <v>1447</v>
      </c>
      <c r="X1" s="1436" t="s">
        <v>1448</v>
      </c>
      <c r="Y1" s="2068" t="s">
        <v>1270</v>
      </c>
      <c r="Z1" s="1436" t="s">
        <v>199</v>
      </c>
    </row>
    <row r="2" spans="1:26" ht="19" x14ac:dyDescent="0.2">
      <c r="A2" s="1345">
        <v>2</v>
      </c>
      <c r="B2" s="2487" t="s">
        <v>32</v>
      </c>
      <c r="C2" s="2488"/>
      <c r="D2" s="2488"/>
      <c r="E2" s="2488"/>
      <c r="F2" s="2488"/>
      <c r="G2" s="2488"/>
      <c r="H2" s="2488"/>
      <c r="I2" s="2488"/>
      <c r="J2" s="2488"/>
      <c r="K2" s="2488"/>
      <c r="L2" s="2488"/>
      <c r="M2" s="2488"/>
      <c r="N2" s="2488"/>
      <c r="O2" s="2489"/>
      <c r="Q2" s="1921">
        <v>45433</v>
      </c>
      <c r="R2" s="1922" t="s">
        <v>117</v>
      </c>
      <c r="S2" s="1922" t="s">
        <v>1267</v>
      </c>
      <c r="T2" s="2069">
        <v>-21.5</v>
      </c>
      <c r="U2" s="1073">
        <f>+$T2</f>
        <v>-21.5</v>
      </c>
      <c r="V2" s="2070"/>
      <c r="W2" s="2070"/>
      <c r="X2" s="1073"/>
      <c r="Y2" s="1073"/>
      <c r="Z2" s="1073"/>
    </row>
    <row r="3" spans="1:26" x14ac:dyDescent="0.2">
      <c r="A3" s="1345">
        <v>3</v>
      </c>
      <c r="B3" s="106"/>
      <c r="C3" s="45"/>
      <c r="D3" s="827">
        <v>2014</v>
      </c>
      <c r="E3" s="297">
        <v>2015</v>
      </c>
      <c r="F3" s="297">
        <v>2016</v>
      </c>
      <c r="G3" s="297">
        <v>2017</v>
      </c>
      <c r="H3" s="297">
        <v>2018</v>
      </c>
      <c r="I3" s="297">
        <v>2019</v>
      </c>
      <c r="J3" s="297">
        <v>2020</v>
      </c>
      <c r="K3" s="297">
        <v>2021</v>
      </c>
      <c r="L3" s="2294" t="s">
        <v>481</v>
      </c>
      <c r="M3" s="2295"/>
      <c r="N3" s="2296"/>
      <c r="O3" s="1473" t="s">
        <v>519</v>
      </c>
      <c r="Q3" s="1918">
        <v>45433</v>
      </c>
      <c r="R3" s="1919" t="s">
        <v>1170</v>
      </c>
      <c r="S3" s="1919" t="s">
        <v>1268</v>
      </c>
      <c r="T3" s="2069">
        <v>7</v>
      </c>
      <c r="U3" s="1073"/>
      <c r="V3" s="2070">
        <f t="shared" ref="V3:Y21" si="0">+$T3</f>
        <v>7</v>
      </c>
      <c r="W3" s="2070"/>
      <c r="X3" s="1073"/>
      <c r="Y3" s="1073"/>
      <c r="Z3" s="1073"/>
    </row>
    <row r="4" spans="1:26" x14ac:dyDescent="0.2">
      <c r="A4" s="1345">
        <v>4</v>
      </c>
      <c r="B4" s="107"/>
      <c r="C4" s="833"/>
      <c r="D4" s="2517" t="s">
        <v>520</v>
      </c>
      <c r="E4" s="2518"/>
      <c r="F4" s="2518"/>
      <c r="G4" s="2518"/>
      <c r="H4" s="2518"/>
      <c r="I4" s="2518"/>
      <c r="J4" s="2518"/>
      <c r="K4" s="2519"/>
      <c r="L4" s="1184">
        <v>2022</v>
      </c>
      <c r="M4" s="1185">
        <v>2023</v>
      </c>
      <c r="N4" s="1185">
        <v>2024</v>
      </c>
      <c r="O4" s="812">
        <v>2025</v>
      </c>
      <c r="Q4" s="1921">
        <v>45443</v>
      </c>
      <c r="R4" s="1922" t="s">
        <v>1139</v>
      </c>
      <c r="S4" s="1922" t="s">
        <v>1269</v>
      </c>
      <c r="T4" s="2069">
        <v>12</v>
      </c>
      <c r="U4" s="1073"/>
      <c r="V4" s="2070">
        <f t="shared" si="0"/>
        <v>12</v>
      </c>
      <c r="W4" s="2070"/>
      <c r="X4" s="1073"/>
      <c r="Y4" s="1073"/>
      <c r="Z4" s="1073"/>
    </row>
    <row r="5" spans="1:26" ht="14.5" customHeight="1" x14ac:dyDescent="0.2">
      <c r="A5" s="1345">
        <v>5</v>
      </c>
      <c r="B5" s="330" t="s">
        <v>1270</v>
      </c>
      <c r="C5" s="833"/>
      <c r="D5" s="1176"/>
      <c r="E5" s="1176"/>
      <c r="F5" s="1176"/>
      <c r="G5" s="1176"/>
      <c r="H5" s="1176"/>
      <c r="I5" s="1176"/>
      <c r="J5" s="1176"/>
      <c r="K5" s="1177"/>
      <c r="L5" s="1175"/>
      <c r="M5" s="1286"/>
      <c r="N5" s="22">
        <v>-21</v>
      </c>
      <c r="O5" s="22"/>
      <c r="Q5" s="1918">
        <v>45458</v>
      </c>
      <c r="R5" s="1919" t="s">
        <v>146</v>
      </c>
      <c r="S5" s="1919" t="s">
        <v>1270</v>
      </c>
      <c r="T5" s="2069">
        <v>-21</v>
      </c>
      <c r="U5" s="1073"/>
      <c r="V5" s="2070"/>
      <c r="W5" s="2070"/>
      <c r="X5" s="1073"/>
      <c r="Y5" s="1073">
        <f t="shared" si="0"/>
        <v>-21</v>
      </c>
      <c r="Z5" s="1073"/>
    </row>
    <row r="6" spans="1:26" ht="16" x14ac:dyDescent="0.2">
      <c r="A6" s="1345">
        <v>6</v>
      </c>
      <c r="B6" s="107" t="s">
        <v>381</v>
      </c>
      <c r="C6" s="833"/>
      <c r="D6" s="1176"/>
      <c r="E6" s="1176"/>
      <c r="F6" s="1176"/>
      <c r="G6" s="1176"/>
      <c r="H6" s="1176"/>
      <c r="I6" s="1176"/>
      <c r="J6" s="1176"/>
      <c r="K6" s="1177"/>
      <c r="L6" s="1175"/>
      <c r="M6" s="1286"/>
      <c r="N6" s="22">
        <v>32</v>
      </c>
      <c r="O6" s="22"/>
      <c r="Q6" s="1921">
        <v>45463</v>
      </c>
      <c r="R6" s="1922" t="s">
        <v>101</v>
      </c>
      <c r="S6" s="1922" t="s">
        <v>1271</v>
      </c>
      <c r="T6" s="2069">
        <v>-62.77</v>
      </c>
      <c r="U6" s="1073"/>
      <c r="V6" s="2070"/>
      <c r="W6" s="2070">
        <f t="shared" si="0"/>
        <v>-62.77</v>
      </c>
      <c r="X6" s="1073"/>
      <c r="Y6" s="2071"/>
      <c r="Z6" s="1073"/>
    </row>
    <row r="7" spans="1:26" ht="16" x14ac:dyDescent="0.2">
      <c r="A7" s="1345">
        <v>7</v>
      </c>
      <c r="B7" s="107" t="s">
        <v>1304</v>
      </c>
      <c r="C7" s="833"/>
      <c r="D7" s="1176"/>
      <c r="E7" s="1176"/>
      <c r="F7" s="1176"/>
      <c r="G7" s="1176"/>
      <c r="H7" s="1176"/>
      <c r="I7" s="1176"/>
      <c r="J7" s="1176"/>
      <c r="K7" s="1177"/>
      <c r="L7" s="1175"/>
      <c r="M7" s="1286"/>
      <c r="N7" s="22">
        <v>160.18</v>
      </c>
      <c r="O7" s="22"/>
      <c r="Q7" s="1918">
        <v>45466</v>
      </c>
      <c r="R7" s="1919" t="s">
        <v>117</v>
      </c>
      <c r="S7" s="1919" t="s">
        <v>1271</v>
      </c>
      <c r="T7" s="2069">
        <v>-32.200000000000003</v>
      </c>
      <c r="U7" s="1073"/>
      <c r="V7" s="2070"/>
      <c r="W7" s="2070">
        <f t="shared" si="0"/>
        <v>-32.200000000000003</v>
      </c>
      <c r="X7" s="1073"/>
      <c r="Y7" s="2071"/>
      <c r="Z7" s="1073"/>
    </row>
    <row r="8" spans="1:26" x14ac:dyDescent="0.2">
      <c r="A8" s="1345">
        <v>8</v>
      </c>
      <c r="B8" s="2508" t="s">
        <v>1079</v>
      </c>
      <c r="C8" s="73" t="s">
        <v>198</v>
      </c>
      <c r="D8" s="834">
        <v>305.5</v>
      </c>
      <c r="E8" s="2493" t="s">
        <v>556</v>
      </c>
      <c r="F8" s="2494"/>
      <c r="G8" s="2494"/>
      <c r="H8" s="2495"/>
      <c r="I8" s="799"/>
      <c r="J8" s="799"/>
      <c r="K8" s="799"/>
      <c r="L8" s="799"/>
      <c r="M8" s="1085"/>
      <c r="N8" s="1173"/>
      <c r="O8" s="1085"/>
      <c r="Q8" s="1921">
        <v>45471</v>
      </c>
      <c r="R8" s="1922" t="s">
        <v>135</v>
      </c>
      <c r="S8" s="1922" t="s">
        <v>1272</v>
      </c>
      <c r="T8" s="2069">
        <v>7</v>
      </c>
      <c r="U8" s="1073"/>
      <c r="V8" s="2070"/>
      <c r="W8" s="2070">
        <f t="shared" si="0"/>
        <v>7</v>
      </c>
      <c r="X8" s="1073"/>
      <c r="Y8" s="2071"/>
      <c r="Z8" s="1073"/>
    </row>
    <row r="9" spans="1:26" x14ac:dyDescent="0.2">
      <c r="A9" s="1345">
        <v>9</v>
      </c>
      <c r="B9" s="2509"/>
      <c r="C9" s="73" t="s">
        <v>182</v>
      </c>
      <c r="D9" s="38"/>
      <c r="E9" s="2496"/>
      <c r="F9" s="2497"/>
      <c r="G9" s="2497"/>
      <c r="H9" s="2498"/>
      <c r="I9" s="800"/>
      <c r="J9" s="800"/>
      <c r="K9" s="800"/>
      <c r="L9" s="800"/>
      <c r="M9" s="1086"/>
      <c r="N9" s="151"/>
      <c r="O9" s="1086"/>
      <c r="Q9" s="1918">
        <v>45471</v>
      </c>
      <c r="R9" s="1919" t="s">
        <v>910</v>
      </c>
      <c r="S9" s="1919" t="s">
        <v>1273</v>
      </c>
      <c r="T9" s="2069">
        <v>7</v>
      </c>
      <c r="U9" s="1073"/>
      <c r="V9" s="2070"/>
      <c r="W9" s="2070">
        <f t="shared" si="0"/>
        <v>7</v>
      </c>
      <c r="X9" s="1073"/>
      <c r="Y9" s="2071"/>
      <c r="Z9" s="1073"/>
    </row>
    <row r="10" spans="1:26" x14ac:dyDescent="0.2">
      <c r="A10" s="1345">
        <v>10</v>
      </c>
      <c r="B10" s="2509"/>
      <c r="C10" s="73" t="s">
        <v>168</v>
      </c>
      <c r="D10" s="38">
        <v>-88.85</v>
      </c>
      <c r="E10" s="2496"/>
      <c r="F10" s="2497"/>
      <c r="G10" s="2497"/>
      <c r="H10" s="2498"/>
      <c r="I10" s="800"/>
      <c r="J10" s="800"/>
      <c r="K10" s="800"/>
      <c r="L10" s="800"/>
      <c r="M10" s="1086"/>
      <c r="N10" s="151"/>
      <c r="O10" s="1086"/>
      <c r="Q10" s="1921">
        <v>45471</v>
      </c>
      <c r="R10" s="1922" t="s">
        <v>1104</v>
      </c>
      <c r="S10" s="1922" t="s">
        <v>1274</v>
      </c>
      <c r="T10" s="2069">
        <v>7</v>
      </c>
      <c r="U10" s="1073"/>
      <c r="V10" s="2070"/>
      <c r="W10" s="2070">
        <f t="shared" si="0"/>
        <v>7</v>
      </c>
      <c r="X10" s="1073"/>
      <c r="Y10" s="2071"/>
      <c r="Z10" s="1073"/>
    </row>
    <row r="11" spans="1:26" x14ac:dyDescent="0.2">
      <c r="A11" s="1345">
        <v>11</v>
      </c>
      <c r="B11" s="2509"/>
      <c r="C11" s="73" t="s">
        <v>195</v>
      </c>
      <c r="D11" s="829">
        <v>122</v>
      </c>
      <c r="E11" s="2496"/>
      <c r="F11" s="2497"/>
      <c r="G11" s="2497"/>
      <c r="H11" s="2498"/>
      <c r="I11" s="800"/>
      <c r="J11" s="800"/>
      <c r="K11" s="800"/>
      <c r="L11" s="800"/>
      <c r="M11" s="1086"/>
      <c r="N11" s="151"/>
      <c r="O11" s="1086"/>
      <c r="Q11" s="1918">
        <v>45471</v>
      </c>
      <c r="R11" s="1919" t="s">
        <v>1109</v>
      </c>
      <c r="S11" s="1919" t="s">
        <v>1273</v>
      </c>
      <c r="T11" s="2069">
        <v>7</v>
      </c>
      <c r="U11" s="1073"/>
      <c r="V11" s="2070"/>
      <c r="W11" s="2070">
        <f t="shared" si="0"/>
        <v>7</v>
      </c>
      <c r="X11" s="1073"/>
      <c r="Y11" s="2071"/>
      <c r="Z11" s="1073"/>
    </row>
    <row r="12" spans="1:26" x14ac:dyDescent="0.2">
      <c r="A12" s="1345">
        <v>12</v>
      </c>
      <c r="B12" s="2509"/>
      <c r="C12" s="10" t="s">
        <v>167</v>
      </c>
      <c r="D12" s="46"/>
      <c r="E12" s="2499"/>
      <c r="F12" s="2500"/>
      <c r="G12" s="2500"/>
      <c r="H12" s="2501"/>
      <c r="I12" s="801"/>
      <c r="J12" s="801"/>
      <c r="K12" s="801"/>
      <c r="L12" s="801"/>
      <c r="M12" s="1282"/>
      <c r="N12" s="1174"/>
      <c r="O12" s="1282"/>
      <c r="Q12" s="1921">
        <v>45471</v>
      </c>
      <c r="R12" s="1922" t="s">
        <v>128</v>
      </c>
      <c r="S12" s="1922" t="s">
        <v>1273</v>
      </c>
      <c r="T12" s="2069">
        <v>7</v>
      </c>
      <c r="U12" s="1073"/>
      <c r="V12" s="2070"/>
      <c r="W12" s="2070">
        <f t="shared" si="0"/>
        <v>7</v>
      </c>
      <c r="X12" s="1073"/>
      <c r="Y12" s="2071"/>
      <c r="Z12" s="1073"/>
    </row>
    <row r="13" spans="1:26" ht="16" thickBot="1" x14ac:dyDescent="0.25">
      <c r="A13" s="1345">
        <v>13</v>
      </c>
      <c r="B13" s="2510"/>
      <c r="C13" s="24"/>
      <c r="D13" s="42">
        <f>SUM(D8:D12)</f>
        <v>338.65</v>
      </c>
      <c r="E13" s="42">
        <f>SUBTOTAL(9,E8:E11)</f>
        <v>0</v>
      </c>
      <c r="F13" s="42">
        <f t="shared" ref="F13:J13" si="1">SUBTOTAL(9,F8:F12)</f>
        <v>0</v>
      </c>
      <c r="G13" s="42">
        <f t="shared" si="1"/>
        <v>0</v>
      </c>
      <c r="H13" s="42">
        <f t="shared" si="1"/>
        <v>0</v>
      </c>
      <c r="I13" s="42">
        <f t="shared" si="1"/>
        <v>0</v>
      </c>
      <c r="J13" s="42">
        <f t="shared" si="1"/>
        <v>0</v>
      </c>
      <c r="K13" s="42">
        <f t="shared" ref="K13" si="2">SUBTOTAL(9,K8:K12)</f>
        <v>0</v>
      </c>
      <c r="L13" s="884">
        <f t="shared" ref="L13:N13" si="3">SUM(L8:L12)</f>
        <v>0</v>
      </c>
      <c r="M13" s="884">
        <f t="shared" si="3"/>
        <v>0</v>
      </c>
      <c r="N13" s="884">
        <f t="shared" si="3"/>
        <v>0</v>
      </c>
      <c r="O13" s="884">
        <f>SUM(O8:O12)</f>
        <v>0</v>
      </c>
      <c r="Q13" s="1918">
        <v>45471</v>
      </c>
      <c r="R13" s="1919" t="s">
        <v>1104</v>
      </c>
      <c r="S13" s="1919" t="s">
        <v>1275</v>
      </c>
      <c r="T13" s="2069">
        <v>7</v>
      </c>
      <c r="U13" s="1073"/>
      <c r="V13" s="2070"/>
      <c r="W13" s="2070">
        <f t="shared" si="0"/>
        <v>7</v>
      </c>
      <c r="X13" s="1073"/>
      <c r="Y13" s="2071"/>
      <c r="Z13" s="1073"/>
    </row>
    <row r="14" spans="1:26" ht="16" thickTop="1" x14ac:dyDescent="0.2">
      <c r="A14" s="1345">
        <v>14</v>
      </c>
      <c r="B14" s="107"/>
      <c r="C14" s="45"/>
      <c r="D14" s="20"/>
      <c r="E14" s="298"/>
      <c r="F14" s="298"/>
      <c r="G14" s="298"/>
      <c r="H14" s="298"/>
      <c r="I14" s="298"/>
      <c r="J14" s="298"/>
      <c r="K14" s="298"/>
      <c r="L14" s="298"/>
      <c r="M14" s="1081"/>
      <c r="N14" s="1081"/>
      <c r="O14" s="1081"/>
      <c r="Q14" s="1921">
        <v>45471</v>
      </c>
      <c r="R14" s="1922" t="s">
        <v>1109</v>
      </c>
      <c r="S14" s="1922" t="s">
        <v>1276</v>
      </c>
      <c r="T14" s="2069">
        <v>12</v>
      </c>
      <c r="U14" s="1073"/>
      <c r="V14" s="2070">
        <f t="shared" si="0"/>
        <v>12</v>
      </c>
      <c r="W14" s="2070"/>
      <c r="X14" s="1073"/>
      <c r="Y14" s="2071"/>
      <c r="Z14" s="1073"/>
    </row>
    <row r="15" spans="1:26" ht="19" x14ac:dyDescent="0.2">
      <c r="A15" s="1345">
        <v>15</v>
      </c>
      <c r="B15" s="2511" t="s">
        <v>585</v>
      </c>
      <c r="C15" s="73" t="s">
        <v>198</v>
      </c>
      <c r="D15" s="30">
        <v>472</v>
      </c>
      <c r="E15" s="38">
        <v>401.5</v>
      </c>
      <c r="F15" s="38">
        <v>392</v>
      </c>
      <c r="G15" s="38">
        <v>456</v>
      </c>
      <c r="H15" s="2490">
        <v>279</v>
      </c>
      <c r="I15" s="38">
        <v>464</v>
      </c>
      <c r="J15" s="2490"/>
      <c r="K15" s="2490"/>
      <c r="L15" s="2502"/>
      <c r="M15" s="1283"/>
      <c r="N15" s="1178"/>
      <c r="O15" s="1086"/>
      <c r="Q15" s="1918">
        <v>45471</v>
      </c>
      <c r="R15" s="1919" t="s">
        <v>83</v>
      </c>
      <c r="S15" s="1919" t="s">
        <v>1277</v>
      </c>
      <c r="T15" s="2069">
        <v>14</v>
      </c>
      <c r="U15" s="1073"/>
      <c r="V15" s="2070"/>
      <c r="W15" s="2070">
        <f t="shared" si="0"/>
        <v>14</v>
      </c>
      <c r="X15" s="1073"/>
      <c r="Y15" s="2071"/>
      <c r="Z15" s="1073"/>
    </row>
    <row r="16" spans="1:26" ht="19" x14ac:dyDescent="0.2">
      <c r="A16" s="1345">
        <v>16</v>
      </c>
      <c r="B16" s="2512"/>
      <c r="C16" s="73" t="s">
        <v>182</v>
      </c>
      <c r="D16" s="38">
        <v>-295</v>
      </c>
      <c r="E16" s="38">
        <v>-255</v>
      </c>
      <c r="F16" s="38">
        <v>-245</v>
      </c>
      <c r="G16" s="38">
        <v>-289</v>
      </c>
      <c r="H16" s="2491"/>
      <c r="I16" s="38">
        <v>-290</v>
      </c>
      <c r="J16" s="2491"/>
      <c r="K16" s="2491"/>
      <c r="L16" s="2503"/>
      <c r="M16" s="1284"/>
      <c r="N16" s="1179"/>
      <c r="O16" s="1086"/>
      <c r="Q16" s="1921">
        <v>45471</v>
      </c>
      <c r="R16" s="1922" t="s">
        <v>864</v>
      </c>
      <c r="S16" s="1922" t="s">
        <v>1277</v>
      </c>
      <c r="T16" s="2069">
        <v>14</v>
      </c>
      <c r="U16" s="1073"/>
      <c r="V16" s="2070"/>
      <c r="W16" s="2070">
        <f t="shared" si="0"/>
        <v>14</v>
      </c>
      <c r="X16" s="1073"/>
      <c r="Y16" s="2071"/>
      <c r="Z16" s="1073"/>
    </row>
    <row r="17" spans="1:26" ht="19" x14ac:dyDescent="0.2">
      <c r="A17" s="1345">
        <v>17</v>
      </c>
      <c r="B17" s="2512"/>
      <c r="C17" s="73" t="s">
        <v>168</v>
      </c>
      <c r="D17" s="38">
        <v>-16.57</v>
      </c>
      <c r="E17" s="38">
        <v>-3.54</v>
      </c>
      <c r="F17" s="38">
        <v>-3.86</v>
      </c>
      <c r="G17" s="38">
        <v>-4</v>
      </c>
      <c r="H17" s="2491"/>
      <c r="I17" s="38">
        <v>-17.600000000000001</v>
      </c>
      <c r="J17" s="2491"/>
      <c r="K17" s="2491"/>
      <c r="L17" s="2503"/>
      <c r="M17" s="1284"/>
      <c r="N17" s="1179"/>
      <c r="O17" s="1086"/>
      <c r="Q17" s="1918">
        <v>45471</v>
      </c>
      <c r="R17" s="1919" t="s">
        <v>1116</v>
      </c>
      <c r="S17" s="1919" t="s">
        <v>1278</v>
      </c>
      <c r="T17" s="2069">
        <v>14</v>
      </c>
      <c r="U17" s="1073"/>
      <c r="V17" s="2070"/>
      <c r="W17" s="2070">
        <f t="shared" si="0"/>
        <v>14</v>
      </c>
      <c r="X17" s="1073"/>
      <c r="Y17" s="2071"/>
      <c r="Z17" s="1073"/>
    </row>
    <row r="18" spans="1:26" ht="19" x14ac:dyDescent="0.2">
      <c r="A18" s="1345">
        <v>18</v>
      </c>
      <c r="B18" s="2512"/>
      <c r="C18" s="73" t="s">
        <v>195</v>
      </c>
      <c r="D18" s="38">
        <v>121</v>
      </c>
      <c r="E18" s="38">
        <v>138</v>
      </c>
      <c r="F18" s="38">
        <v>117</v>
      </c>
      <c r="G18" s="38">
        <v>143</v>
      </c>
      <c r="H18" s="2491"/>
      <c r="I18" s="38">
        <v>162</v>
      </c>
      <c r="J18" s="2491"/>
      <c r="K18" s="2491"/>
      <c r="L18" s="2503"/>
      <c r="M18" s="1284"/>
      <c r="N18" s="1179"/>
      <c r="O18" s="1086"/>
      <c r="Q18" s="1921">
        <v>45471</v>
      </c>
      <c r="R18" s="1922" t="s">
        <v>101</v>
      </c>
      <c r="S18" s="1922" t="s">
        <v>1278</v>
      </c>
      <c r="T18" s="2069">
        <v>14</v>
      </c>
      <c r="U18" s="1073"/>
      <c r="V18" s="2070"/>
      <c r="W18" s="2070">
        <f t="shared" si="0"/>
        <v>14</v>
      </c>
      <c r="X18" s="1073"/>
      <c r="Y18" s="2071"/>
      <c r="Z18" s="1073"/>
    </row>
    <row r="19" spans="1:26" ht="14.5" customHeight="1" x14ac:dyDescent="0.2">
      <c r="A19" s="1345">
        <v>19</v>
      </c>
      <c r="B19" s="2512"/>
      <c r="C19" s="10" t="s">
        <v>167</v>
      </c>
      <c r="D19" s="46"/>
      <c r="E19" s="46"/>
      <c r="F19" s="46">
        <v>-15</v>
      </c>
      <c r="G19" s="46">
        <v>-12</v>
      </c>
      <c r="H19" s="2492"/>
      <c r="I19" s="38"/>
      <c r="J19" s="2492"/>
      <c r="K19" s="2492"/>
      <c r="L19" s="2504"/>
      <c r="M19" s="1285"/>
      <c r="N19" s="1180"/>
      <c r="O19" s="1086"/>
      <c r="Q19" s="1918">
        <v>45471</v>
      </c>
      <c r="R19" s="1919" t="s">
        <v>114</v>
      </c>
      <c r="S19" s="1919" t="s">
        <v>1278</v>
      </c>
      <c r="T19" s="2069">
        <v>14</v>
      </c>
      <c r="U19" s="1073"/>
      <c r="V19" s="2070"/>
      <c r="W19" s="2070">
        <f t="shared" si="0"/>
        <v>14</v>
      </c>
      <c r="X19" s="1073"/>
      <c r="Y19" s="2071"/>
      <c r="Z19" s="1073"/>
    </row>
    <row r="20" spans="1:26" ht="16" thickBot="1" x14ac:dyDescent="0.25">
      <c r="A20" s="1345">
        <v>20</v>
      </c>
      <c r="B20" s="2513"/>
      <c r="C20" s="24"/>
      <c r="D20" s="42">
        <f>SUBTOTAL(9,D15:D18)</f>
        <v>281.43</v>
      </c>
      <c r="E20" s="42">
        <f>SUBTOTAL(9,E15:E18)</f>
        <v>280.96000000000004</v>
      </c>
      <c r="F20" s="42">
        <f>SUBTOTAL(9,F15:F19)</f>
        <v>245.14</v>
      </c>
      <c r="G20" s="42">
        <f t="shared" ref="G20:O20" si="4">SUM(G15:G19)</f>
        <v>294</v>
      </c>
      <c r="H20" s="42">
        <f t="shared" si="4"/>
        <v>279</v>
      </c>
      <c r="I20" s="42">
        <f t="shared" si="4"/>
        <v>318.39999999999998</v>
      </c>
      <c r="J20" s="42">
        <f t="shared" si="4"/>
        <v>0</v>
      </c>
      <c r="K20" s="42">
        <f t="shared" si="4"/>
        <v>0</v>
      </c>
      <c r="L20" s="884">
        <f t="shared" si="4"/>
        <v>0</v>
      </c>
      <c r="M20" s="884">
        <f t="shared" si="4"/>
        <v>0</v>
      </c>
      <c r="N20" s="884">
        <f t="shared" si="4"/>
        <v>0</v>
      </c>
      <c r="O20" s="884">
        <f t="shared" si="4"/>
        <v>0</v>
      </c>
      <c r="Q20" s="1921">
        <v>45471</v>
      </c>
      <c r="R20" s="1922" t="s">
        <v>146</v>
      </c>
      <c r="S20" s="1922" t="s">
        <v>1278</v>
      </c>
      <c r="T20" s="2069">
        <v>14</v>
      </c>
      <c r="U20" s="1073"/>
      <c r="V20" s="2070"/>
      <c r="W20" s="2070">
        <f t="shared" si="0"/>
        <v>14</v>
      </c>
      <c r="X20" s="1073"/>
      <c r="Y20" s="2071"/>
      <c r="Z20" s="1073"/>
    </row>
    <row r="21" spans="1:26" ht="16" thickTop="1" x14ac:dyDescent="0.2">
      <c r="A21" s="1345">
        <v>21</v>
      </c>
      <c r="B21" s="830"/>
      <c r="C21" s="1"/>
      <c r="D21" s="20"/>
      <c r="E21" s="831"/>
      <c r="F21" s="20"/>
      <c r="G21" s="20"/>
      <c r="H21" s="20"/>
      <c r="I21" s="20"/>
      <c r="J21" s="20"/>
      <c r="K21" s="20"/>
      <c r="L21" s="832"/>
      <c r="M21" s="1082"/>
      <c r="N21" s="1082"/>
      <c r="O21" s="1082"/>
      <c r="Q21" s="1918">
        <v>45471</v>
      </c>
      <c r="R21" s="1919" t="s">
        <v>110</v>
      </c>
      <c r="S21" s="1919" t="s">
        <v>1279</v>
      </c>
      <c r="T21" s="2069">
        <v>14</v>
      </c>
      <c r="U21" s="1073"/>
      <c r="V21" s="2070"/>
      <c r="W21" s="2070">
        <f t="shared" si="0"/>
        <v>14</v>
      </c>
      <c r="X21" s="1073"/>
      <c r="Y21" s="2071"/>
      <c r="Z21" s="1073"/>
    </row>
    <row r="22" spans="1:26" x14ac:dyDescent="0.2">
      <c r="A22" s="1345">
        <v>22</v>
      </c>
      <c r="B22" s="2505" t="s">
        <v>199</v>
      </c>
      <c r="C22" s="73" t="s">
        <v>198</v>
      </c>
      <c r="D22" s="38">
        <v>183</v>
      </c>
      <c r="E22" s="38">
        <v>207</v>
      </c>
      <c r="F22" s="38">
        <v>159</v>
      </c>
      <c r="G22" s="2523" t="s">
        <v>10</v>
      </c>
      <c r="H22" s="2524"/>
      <c r="I22" s="37">
        <v>255</v>
      </c>
      <c r="J22" s="2520"/>
      <c r="K22" s="2520"/>
      <c r="L22" s="2520">
        <v>129.54</v>
      </c>
      <c r="M22" s="1085"/>
      <c r="N22" s="2520">
        <v>298.86</v>
      </c>
      <c r="O22" s="1086"/>
      <c r="Q22" s="1921">
        <v>45471</v>
      </c>
      <c r="R22" s="1922" t="s">
        <v>117</v>
      </c>
      <c r="S22" s="1922" t="s">
        <v>1279</v>
      </c>
      <c r="T22" s="2069">
        <v>14</v>
      </c>
      <c r="U22" s="1073"/>
      <c r="V22" s="2070"/>
      <c r="W22" s="2070">
        <f t="shared" ref="W22:Z34" si="5">+$T22</f>
        <v>14</v>
      </c>
      <c r="X22" s="1073"/>
      <c r="Y22" s="2071"/>
      <c r="Z22" s="1073"/>
    </row>
    <row r="23" spans="1:26" x14ac:dyDescent="0.2">
      <c r="A23" s="1345">
        <v>23</v>
      </c>
      <c r="B23" s="2506"/>
      <c r="C23" s="73" t="s">
        <v>182</v>
      </c>
      <c r="D23" s="38"/>
      <c r="E23" s="38"/>
      <c r="F23" s="38">
        <v>-38.6</v>
      </c>
      <c r="G23" s="2525"/>
      <c r="H23" s="2526"/>
      <c r="I23" s="37"/>
      <c r="J23" s="2521"/>
      <c r="K23" s="2521"/>
      <c r="L23" s="2521"/>
      <c r="M23" s="1086"/>
      <c r="N23" s="2521"/>
      <c r="O23" s="1086"/>
      <c r="Q23" s="1918">
        <v>45471</v>
      </c>
      <c r="R23" s="1919" t="s">
        <v>119</v>
      </c>
      <c r="S23" s="1919" t="s">
        <v>1280</v>
      </c>
      <c r="T23" s="2069">
        <v>21</v>
      </c>
      <c r="U23" s="1073"/>
      <c r="V23" s="2070"/>
      <c r="W23" s="2070">
        <f t="shared" si="5"/>
        <v>21</v>
      </c>
      <c r="X23" s="1073"/>
      <c r="Y23" s="2071"/>
      <c r="Z23" s="1073"/>
    </row>
    <row r="24" spans="1:26" x14ac:dyDescent="0.2">
      <c r="A24" s="1345">
        <v>24</v>
      </c>
      <c r="B24" s="2506"/>
      <c r="C24" s="73" t="s">
        <v>195</v>
      </c>
      <c r="D24" s="38"/>
      <c r="E24" s="38">
        <v>120</v>
      </c>
      <c r="F24" s="38">
        <v>109</v>
      </c>
      <c r="G24" s="2525"/>
      <c r="H24" s="2526"/>
      <c r="I24" s="37"/>
      <c r="J24" s="2521"/>
      <c r="K24" s="2521"/>
      <c r="L24" s="2521"/>
      <c r="M24" s="1086"/>
      <c r="N24" s="2521"/>
      <c r="O24" s="1086"/>
      <c r="Q24" s="1921">
        <v>45471</v>
      </c>
      <c r="R24" s="1922" t="s">
        <v>71</v>
      </c>
      <c r="S24" s="1922" t="s">
        <v>1280</v>
      </c>
      <c r="T24" s="2069">
        <v>21.95</v>
      </c>
      <c r="U24" s="1073"/>
      <c r="V24" s="2070"/>
      <c r="W24" s="2070">
        <f t="shared" si="5"/>
        <v>21.95</v>
      </c>
      <c r="X24" s="1073"/>
      <c r="Y24" s="2071"/>
      <c r="Z24" s="1073"/>
    </row>
    <row r="25" spans="1:26" ht="14.5" customHeight="1" x14ac:dyDescent="0.2">
      <c r="A25" s="1345">
        <v>25</v>
      </c>
      <c r="B25" s="2506"/>
      <c r="C25" s="73" t="s">
        <v>168</v>
      </c>
      <c r="D25" s="38">
        <v>-66.400000000000006</v>
      </c>
      <c r="E25" s="38">
        <v>-53.36</v>
      </c>
      <c r="F25" s="38">
        <v>-12.73</v>
      </c>
      <c r="G25" s="2527"/>
      <c r="H25" s="2528"/>
      <c r="I25" s="37">
        <v>-87.98</v>
      </c>
      <c r="J25" s="2522"/>
      <c r="K25" s="2522"/>
      <c r="L25" s="2522"/>
      <c r="M25" s="1282"/>
      <c r="N25" s="2522"/>
      <c r="O25" s="1086"/>
      <c r="Q25" s="1918">
        <v>45471</v>
      </c>
      <c r="R25" s="1919" t="s">
        <v>1170</v>
      </c>
      <c r="S25" s="1919" t="s">
        <v>1281</v>
      </c>
      <c r="T25" s="2069">
        <v>58.2</v>
      </c>
      <c r="U25" s="1073"/>
      <c r="V25" s="2070"/>
      <c r="W25" s="1073">
        <f t="shared" si="5"/>
        <v>58.2</v>
      </c>
      <c r="X25" s="1073"/>
      <c r="Y25" s="2071"/>
      <c r="Z25" s="1073"/>
    </row>
    <row r="26" spans="1:26" ht="16" thickBot="1" x14ac:dyDescent="0.25">
      <c r="A26" s="1345">
        <v>26</v>
      </c>
      <c r="B26" s="2507"/>
      <c r="C26" s="24"/>
      <c r="D26" s="42">
        <f>SUM(D22:D25)</f>
        <v>116.6</v>
      </c>
      <c r="E26" s="42">
        <f>SUBTOTAL(9,E22:E25)</f>
        <v>273.64</v>
      </c>
      <c r="F26" s="42">
        <f>SUBTOTAL(9,F22:F25)</f>
        <v>216.67000000000002</v>
      </c>
      <c r="G26" s="42">
        <v>0</v>
      </c>
      <c r="H26" s="42">
        <v>0</v>
      </c>
      <c r="I26" s="42">
        <f>SUM(I22:I25)</f>
        <v>167.01999999999998</v>
      </c>
      <c r="J26" s="42">
        <f>SUM(J22:J25)</f>
        <v>0</v>
      </c>
      <c r="K26" s="42">
        <f>SUM(K22:K25)</f>
        <v>0</v>
      </c>
      <c r="L26" s="884">
        <f t="shared" ref="L26:N26" si="6">SUM(L22:L25)</f>
        <v>129.54</v>
      </c>
      <c r="M26" s="884">
        <f t="shared" si="6"/>
        <v>0</v>
      </c>
      <c r="N26" s="884">
        <f t="shared" si="6"/>
        <v>298.86</v>
      </c>
      <c r="O26" s="884">
        <f>SUM(O22:O25)</f>
        <v>0</v>
      </c>
      <c r="Q26" s="1921">
        <v>45489</v>
      </c>
      <c r="R26" s="1922" t="s">
        <v>100</v>
      </c>
      <c r="S26" s="1922" t="s">
        <v>1282</v>
      </c>
      <c r="T26" s="2069">
        <v>-72.89</v>
      </c>
      <c r="U26" s="1073"/>
      <c r="V26" s="2070"/>
      <c r="W26" s="2070"/>
      <c r="X26" s="1073"/>
      <c r="Y26" s="2071"/>
      <c r="Z26" s="1073">
        <f t="shared" si="5"/>
        <v>-72.89</v>
      </c>
    </row>
    <row r="27" spans="1:26" ht="16" thickTop="1" x14ac:dyDescent="0.2">
      <c r="A27" s="1345">
        <v>27</v>
      </c>
      <c r="B27" s="830"/>
      <c r="C27" s="1"/>
      <c r="D27" s="20"/>
      <c r="E27" s="20"/>
      <c r="F27" s="20"/>
      <c r="G27" s="20"/>
      <c r="H27" s="20"/>
      <c r="I27" s="20"/>
      <c r="J27" s="20"/>
      <c r="K27" s="20"/>
      <c r="L27" s="832"/>
      <c r="M27" s="1082"/>
      <c r="N27" s="1082"/>
      <c r="O27" s="1082"/>
      <c r="Q27" s="1918">
        <v>45495</v>
      </c>
      <c r="R27" s="1919" t="s">
        <v>117</v>
      </c>
      <c r="S27" s="1919" t="s">
        <v>1282</v>
      </c>
      <c r="T27" s="2069">
        <v>-39.299999999999997</v>
      </c>
      <c r="U27" s="1073"/>
      <c r="V27" s="2070"/>
      <c r="W27" s="2070"/>
      <c r="X27" s="1073"/>
      <c r="Y27" s="2071"/>
      <c r="Z27" s="1073">
        <f t="shared" si="5"/>
        <v>-39.299999999999997</v>
      </c>
    </row>
    <row r="28" spans="1:26" x14ac:dyDescent="0.2">
      <c r="A28" s="1345">
        <v>28</v>
      </c>
      <c r="B28" s="2505" t="s">
        <v>1055</v>
      </c>
      <c r="C28" s="73" t="s">
        <v>198</v>
      </c>
      <c r="D28" s="37"/>
      <c r="E28" s="37"/>
      <c r="F28" s="37"/>
      <c r="G28" s="37"/>
      <c r="H28" s="37"/>
      <c r="I28" s="37"/>
      <c r="J28" s="2520"/>
      <c r="K28" s="2520"/>
      <c r="L28" s="2520">
        <v>21.7</v>
      </c>
      <c r="M28" s="1085"/>
      <c r="N28" s="2520">
        <v>73</v>
      </c>
      <c r="O28" s="1086"/>
      <c r="Q28" s="1921">
        <v>45495</v>
      </c>
      <c r="R28" s="1922" t="s">
        <v>1097</v>
      </c>
      <c r="S28" s="1922" t="s">
        <v>1282</v>
      </c>
      <c r="T28" s="2069">
        <v>-4.95</v>
      </c>
      <c r="U28" s="1073"/>
      <c r="V28" s="2070"/>
      <c r="W28" s="2070"/>
      <c r="X28" s="1073"/>
      <c r="Y28" s="2071"/>
      <c r="Z28" s="1073">
        <f t="shared" si="5"/>
        <v>-4.95</v>
      </c>
    </row>
    <row r="29" spans="1:26" x14ac:dyDescent="0.2">
      <c r="A29" s="1345">
        <v>29</v>
      </c>
      <c r="B29" s="2506"/>
      <c r="C29" s="73" t="s">
        <v>182</v>
      </c>
      <c r="D29" s="37"/>
      <c r="E29" s="37"/>
      <c r="F29" s="37"/>
      <c r="G29" s="37"/>
      <c r="H29" s="37"/>
      <c r="I29" s="37"/>
      <c r="J29" s="2521"/>
      <c r="K29" s="2521"/>
      <c r="L29" s="2521"/>
      <c r="M29" s="1086"/>
      <c r="N29" s="2521"/>
      <c r="O29" s="1086"/>
      <c r="Q29" s="1918">
        <v>45495</v>
      </c>
      <c r="R29" s="1919" t="s">
        <v>115</v>
      </c>
      <c r="S29" s="1919" t="s">
        <v>1283</v>
      </c>
      <c r="T29" s="2069">
        <v>6</v>
      </c>
      <c r="U29" s="1073"/>
      <c r="V29" s="2070"/>
      <c r="W29" s="2070"/>
      <c r="X29" s="1073"/>
      <c r="Y29" s="2071"/>
      <c r="Z29" s="1073">
        <f t="shared" si="5"/>
        <v>6</v>
      </c>
    </row>
    <row r="30" spans="1:26" x14ac:dyDescent="0.2">
      <c r="A30" s="1345">
        <v>30</v>
      </c>
      <c r="B30" s="2506"/>
      <c r="C30" s="73" t="s">
        <v>195</v>
      </c>
      <c r="D30" s="37"/>
      <c r="E30" s="37"/>
      <c r="F30" s="37"/>
      <c r="G30" s="37"/>
      <c r="H30" s="37"/>
      <c r="I30" s="37"/>
      <c r="J30" s="2521"/>
      <c r="K30" s="2521"/>
      <c r="L30" s="2521"/>
      <c r="M30" s="1086"/>
      <c r="N30" s="2521"/>
      <c r="O30" s="1086"/>
      <c r="Q30" s="1921">
        <v>45495</v>
      </c>
      <c r="R30" s="1922" t="s">
        <v>77</v>
      </c>
      <c r="S30" s="1922" t="s">
        <v>1283</v>
      </c>
      <c r="T30" s="2069">
        <v>6</v>
      </c>
      <c r="U30" s="1073"/>
      <c r="V30" s="2070"/>
      <c r="W30" s="2070"/>
      <c r="X30" s="1073"/>
      <c r="Y30" s="2071"/>
      <c r="Z30" s="1073">
        <f t="shared" si="5"/>
        <v>6</v>
      </c>
    </row>
    <row r="31" spans="1:26" x14ac:dyDescent="0.2">
      <c r="A31" s="1345">
        <v>31</v>
      </c>
      <c r="B31" s="2506"/>
      <c r="C31" s="73" t="s">
        <v>168</v>
      </c>
      <c r="D31" s="37"/>
      <c r="E31" s="37"/>
      <c r="F31" s="37"/>
      <c r="G31" s="37"/>
      <c r="H31" s="37"/>
      <c r="I31" s="37"/>
      <c r="J31" s="2522"/>
      <c r="K31" s="2522"/>
      <c r="L31" s="2522"/>
      <c r="M31" s="1282"/>
      <c r="N31" s="2522"/>
      <c r="O31" s="1086"/>
      <c r="Q31" s="1918">
        <v>45495</v>
      </c>
      <c r="R31" s="1919" t="s">
        <v>1109</v>
      </c>
      <c r="S31" s="1919" t="s">
        <v>1283</v>
      </c>
      <c r="T31" s="2069">
        <v>6</v>
      </c>
      <c r="U31" s="1073"/>
      <c r="V31" s="2070"/>
      <c r="W31" s="2070"/>
      <c r="X31" s="1073"/>
      <c r="Y31" s="2071"/>
      <c r="Z31" s="1073">
        <f t="shared" si="5"/>
        <v>6</v>
      </c>
    </row>
    <row r="32" spans="1:26" ht="16" thickBot="1" x14ac:dyDescent="0.25">
      <c r="A32" s="1345">
        <v>32</v>
      </c>
      <c r="B32" s="2507"/>
      <c r="C32" s="24"/>
      <c r="D32" s="42">
        <f>SUM(D28:D31)</f>
        <v>0</v>
      </c>
      <c r="E32" s="42">
        <f>SUBTOTAL(9,E28:E31)</f>
        <v>0</v>
      </c>
      <c r="F32" s="42">
        <f>SUBTOTAL(9,F28:F31)</f>
        <v>0</v>
      </c>
      <c r="G32" s="42">
        <v>0</v>
      </c>
      <c r="H32" s="42">
        <v>0</v>
      </c>
      <c r="I32" s="42">
        <f>SUM(I28:I31)</f>
        <v>0</v>
      </c>
      <c r="J32" s="42">
        <f>SUM(J28:J31)</f>
        <v>0</v>
      </c>
      <c r="K32" s="42">
        <f>SUM(K28:K31)</f>
        <v>0</v>
      </c>
      <c r="L32" s="884">
        <f t="shared" ref="L32:N32" si="7">SUM(L28:L31)</f>
        <v>21.7</v>
      </c>
      <c r="M32" s="884">
        <f t="shared" si="7"/>
        <v>0</v>
      </c>
      <c r="N32" s="884">
        <f t="shared" si="7"/>
        <v>73</v>
      </c>
      <c r="O32" s="884">
        <f>SUM(O28:O31)</f>
        <v>0</v>
      </c>
      <c r="Q32" s="1921">
        <v>45495</v>
      </c>
      <c r="R32" s="1922" t="s">
        <v>102</v>
      </c>
      <c r="S32" s="1922" t="s">
        <v>1283</v>
      </c>
      <c r="T32" s="2069">
        <v>6</v>
      </c>
      <c r="U32" s="1073"/>
      <c r="V32" s="2070"/>
      <c r="W32" s="2070"/>
      <c r="X32" s="1073"/>
      <c r="Y32" s="2071"/>
      <c r="Z32" s="1073">
        <f t="shared" si="5"/>
        <v>6</v>
      </c>
    </row>
    <row r="33" spans="1:26" ht="16" thickTop="1" x14ac:dyDescent="0.2">
      <c r="A33" s="1345">
        <v>33</v>
      </c>
      <c r="B33" s="830"/>
      <c r="C33" s="1"/>
      <c r="D33" s="20"/>
      <c r="E33" s="20"/>
      <c r="F33" s="20"/>
      <c r="G33" s="20"/>
      <c r="H33" s="20"/>
      <c r="I33" s="20"/>
      <c r="J33" s="20"/>
      <c r="K33" s="20"/>
      <c r="L33" s="832"/>
      <c r="M33" s="1082"/>
      <c r="N33" s="1082"/>
      <c r="O33" s="1082"/>
      <c r="Q33" s="1918">
        <v>45495</v>
      </c>
      <c r="R33" s="1919" t="s">
        <v>658</v>
      </c>
      <c r="S33" s="1919" t="s">
        <v>1284</v>
      </c>
      <c r="T33" s="2069">
        <v>6</v>
      </c>
      <c r="U33" s="1073"/>
      <c r="V33" s="2070"/>
      <c r="W33" s="2070"/>
      <c r="X33" s="1073"/>
      <c r="Y33" s="2071"/>
      <c r="Z33" s="1073">
        <f t="shared" si="5"/>
        <v>6</v>
      </c>
    </row>
    <row r="34" spans="1:26" x14ac:dyDescent="0.2">
      <c r="A34" s="1345">
        <v>34</v>
      </c>
      <c r="B34" s="2505" t="s">
        <v>200</v>
      </c>
      <c r="C34" s="73" t="s">
        <v>198</v>
      </c>
      <c r="D34" s="38">
        <v>364</v>
      </c>
      <c r="E34" s="38">
        <v>364</v>
      </c>
      <c r="F34" s="38">
        <v>318.5</v>
      </c>
      <c r="G34" s="38">
        <v>403</v>
      </c>
      <c r="H34" s="2490">
        <v>202</v>
      </c>
      <c r="I34" s="38">
        <v>364</v>
      </c>
      <c r="J34" s="2490"/>
      <c r="K34" s="2490">
        <v>237</v>
      </c>
      <c r="L34" s="2490">
        <v>247.51</v>
      </c>
      <c r="M34" s="1085"/>
      <c r="N34" s="2520">
        <v>288.82000000000005</v>
      </c>
      <c r="O34" s="1086"/>
      <c r="Q34" s="1921">
        <v>45495</v>
      </c>
      <c r="R34" s="1922" t="s">
        <v>101</v>
      </c>
      <c r="S34" s="1922" t="s">
        <v>1285</v>
      </c>
      <c r="T34" s="2069">
        <v>12</v>
      </c>
      <c r="U34" s="1073"/>
      <c r="V34" s="2070"/>
      <c r="W34" s="2070"/>
      <c r="X34" s="1073"/>
      <c r="Y34" s="2071"/>
      <c r="Z34" s="1073">
        <f t="shared" si="5"/>
        <v>12</v>
      </c>
    </row>
    <row r="35" spans="1:26" x14ac:dyDescent="0.2">
      <c r="A35" s="1345">
        <v>35</v>
      </c>
      <c r="B35" s="2506"/>
      <c r="C35" s="73" t="s">
        <v>182</v>
      </c>
      <c r="D35" s="38"/>
      <c r="E35" s="38"/>
      <c r="F35" s="38"/>
      <c r="G35" s="38"/>
      <c r="H35" s="2491"/>
      <c r="I35" s="38"/>
      <c r="J35" s="2491"/>
      <c r="K35" s="2491"/>
      <c r="L35" s="2491"/>
      <c r="M35" s="1086"/>
      <c r="N35" s="2521"/>
      <c r="O35" s="1086"/>
      <c r="Q35" s="1918">
        <v>45495</v>
      </c>
      <c r="R35" s="1919" t="s">
        <v>81</v>
      </c>
      <c r="S35" s="1919" t="s">
        <v>1285</v>
      </c>
      <c r="T35" s="2069">
        <v>12</v>
      </c>
      <c r="U35" s="1073"/>
      <c r="V35" s="2070"/>
      <c r="W35" s="2070"/>
      <c r="X35" s="1073"/>
      <c r="Y35" s="2071"/>
      <c r="Z35" s="1073">
        <f t="shared" ref="Z35:Z51" si="8">+$T35</f>
        <v>12</v>
      </c>
    </row>
    <row r="36" spans="1:26" x14ac:dyDescent="0.2">
      <c r="A36" s="1345">
        <v>36</v>
      </c>
      <c r="B36" s="2506"/>
      <c r="C36" s="73" t="s">
        <v>168</v>
      </c>
      <c r="D36" s="38">
        <v>-160.27000000000001</v>
      </c>
      <c r="E36" s="38">
        <v>-174.92</v>
      </c>
      <c r="F36" s="38">
        <v>-164.38</v>
      </c>
      <c r="G36" s="38">
        <v>-251</v>
      </c>
      <c r="H36" s="2491"/>
      <c r="I36" s="38">
        <v>-152.43</v>
      </c>
      <c r="J36" s="2491"/>
      <c r="K36" s="2491"/>
      <c r="L36" s="2491"/>
      <c r="M36" s="1086"/>
      <c r="N36" s="2521"/>
      <c r="O36" s="1086"/>
      <c r="Q36" s="1921">
        <v>45495</v>
      </c>
      <c r="R36" s="1922" t="s">
        <v>154</v>
      </c>
      <c r="S36" s="1922" t="s">
        <v>1285</v>
      </c>
      <c r="T36" s="2069">
        <v>12</v>
      </c>
      <c r="U36" s="1073"/>
      <c r="V36" s="2070"/>
      <c r="W36" s="2070"/>
      <c r="X36" s="1073"/>
      <c r="Y36" s="2071"/>
      <c r="Z36" s="1073">
        <f t="shared" si="8"/>
        <v>12</v>
      </c>
    </row>
    <row r="37" spans="1:26" x14ac:dyDescent="0.2">
      <c r="A37" s="1345">
        <v>37</v>
      </c>
      <c r="B37" s="2506"/>
      <c r="C37" s="73" t="s">
        <v>195</v>
      </c>
      <c r="D37" s="38">
        <v>118</v>
      </c>
      <c r="E37" s="38"/>
      <c r="F37" s="38">
        <v>109</v>
      </c>
      <c r="G37" s="38">
        <v>128</v>
      </c>
      <c r="H37" s="2491"/>
      <c r="I37" s="38"/>
      <c r="J37" s="2491"/>
      <c r="K37" s="2491"/>
      <c r="L37" s="2491"/>
      <c r="M37" s="1086"/>
      <c r="N37" s="2521"/>
      <c r="O37" s="1086"/>
      <c r="Q37" s="1918">
        <v>45495</v>
      </c>
      <c r="R37" s="1919" t="s">
        <v>1286</v>
      </c>
      <c r="S37" s="1919" t="s">
        <v>1285</v>
      </c>
      <c r="T37" s="2069">
        <v>12</v>
      </c>
      <c r="U37" s="1073"/>
      <c r="V37" s="2070"/>
      <c r="W37" s="2070"/>
      <c r="X37" s="1073"/>
      <c r="Y37" s="2071"/>
      <c r="Z37" s="1073">
        <f t="shared" si="8"/>
        <v>12</v>
      </c>
    </row>
    <row r="38" spans="1:26" ht="14.5" customHeight="1" x14ac:dyDescent="0.2">
      <c r="A38" s="1345">
        <v>38</v>
      </c>
      <c r="B38" s="2506"/>
      <c r="C38" s="10" t="s">
        <v>167</v>
      </c>
      <c r="D38" s="46"/>
      <c r="E38" s="46"/>
      <c r="F38" s="46">
        <v>-7</v>
      </c>
      <c r="G38" s="46"/>
      <c r="H38" s="2492"/>
      <c r="I38" s="38"/>
      <c r="J38" s="2492"/>
      <c r="K38" s="2492"/>
      <c r="L38" s="2492"/>
      <c r="M38" s="1282"/>
      <c r="N38" s="2522"/>
      <c r="O38" s="1086"/>
      <c r="Q38" s="1921">
        <v>45495</v>
      </c>
      <c r="R38" s="1922" t="s">
        <v>96</v>
      </c>
      <c r="S38" s="1922" t="s">
        <v>1285</v>
      </c>
      <c r="T38" s="2069">
        <v>12</v>
      </c>
      <c r="U38" s="1073"/>
      <c r="V38" s="2070"/>
      <c r="W38" s="2070"/>
      <c r="X38" s="1073"/>
      <c r="Y38" s="2071"/>
      <c r="Z38" s="1073">
        <f t="shared" si="8"/>
        <v>12</v>
      </c>
    </row>
    <row r="39" spans="1:26" ht="16" thickBot="1" x14ac:dyDescent="0.25">
      <c r="A39" s="1345">
        <v>39</v>
      </c>
      <c r="B39" s="2507"/>
      <c r="C39" s="24"/>
      <c r="D39" s="42">
        <f>SUBTOTAL(9,D34:D38)</f>
        <v>321.73</v>
      </c>
      <c r="E39" s="42">
        <f>SUBTOTAL(9,E34:E38)</f>
        <v>189.08</v>
      </c>
      <c r="F39" s="42">
        <f>SUBTOTAL(9,F34:F38)</f>
        <v>256.12</v>
      </c>
      <c r="G39" s="42">
        <f t="shared" ref="G39:N39" si="9">SUM(G34:G38)</f>
        <v>280</v>
      </c>
      <c r="H39" s="42">
        <f t="shared" si="9"/>
        <v>202</v>
      </c>
      <c r="I39" s="42">
        <f t="shared" si="9"/>
        <v>211.57</v>
      </c>
      <c r="J39" s="42">
        <f t="shared" si="9"/>
        <v>0</v>
      </c>
      <c r="K39" s="42">
        <f t="shared" si="9"/>
        <v>237</v>
      </c>
      <c r="L39" s="884">
        <f t="shared" si="9"/>
        <v>247.51</v>
      </c>
      <c r="M39" s="884">
        <f t="shared" si="9"/>
        <v>0</v>
      </c>
      <c r="N39" s="884">
        <f t="shared" si="9"/>
        <v>288.82000000000005</v>
      </c>
      <c r="O39" s="884">
        <f>SUM(O34:O38)</f>
        <v>0</v>
      </c>
      <c r="Q39" s="1918">
        <v>45495</v>
      </c>
      <c r="R39" s="1919" t="s">
        <v>146</v>
      </c>
      <c r="S39" s="1919" t="s">
        <v>1287</v>
      </c>
      <c r="T39" s="2069">
        <v>12</v>
      </c>
      <c r="U39" s="1073"/>
      <c r="V39" s="2070"/>
      <c r="W39" s="2070"/>
      <c r="X39" s="1073"/>
      <c r="Y39" s="2071"/>
      <c r="Z39" s="1073">
        <f t="shared" si="8"/>
        <v>12</v>
      </c>
    </row>
    <row r="40" spans="1:26" ht="16" thickTop="1" x14ac:dyDescent="0.2">
      <c r="A40" s="1345">
        <v>40</v>
      </c>
      <c r="B40" s="830"/>
      <c r="C40" s="1"/>
      <c r="D40" s="20"/>
      <c r="E40" s="20"/>
      <c r="F40" s="20"/>
      <c r="G40" s="20"/>
      <c r="H40" s="20"/>
      <c r="I40" s="20"/>
      <c r="J40" s="20"/>
      <c r="K40" s="20"/>
      <c r="L40" s="832"/>
      <c r="M40" s="1082"/>
      <c r="N40" s="1082"/>
      <c r="O40" s="1082"/>
      <c r="Q40" s="1921">
        <v>45495</v>
      </c>
      <c r="R40" s="1922" t="s">
        <v>865</v>
      </c>
      <c r="S40" s="1922" t="s">
        <v>1288</v>
      </c>
      <c r="T40" s="2069">
        <v>12</v>
      </c>
      <c r="U40" s="1073"/>
      <c r="V40" s="2070"/>
      <c r="W40" s="2070"/>
      <c r="X40" s="1073"/>
      <c r="Y40" s="2071"/>
      <c r="Z40" s="1073">
        <f t="shared" si="8"/>
        <v>12</v>
      </c>
    </row>
    <row r="41" spans="1:26" ht="16" x14ac:dyDescent="0.2">
      <c r="A41" s="1345">
        <v>41</v>
      </c>
      <c r="B41" s="2505" t="s">
        <v>201</v>
      </c>
      <c r="C41" s="31" t="s">
        <v>198</v>
      </c>
      <c r="D41" s="424"/>
      <c r="E41" s="424">
        <v>70</v>
      </c>
      <c r="F41" s="424"/>
      <c r="G41" s="2493" t="s">
        <v>584</v>
      </c>
      <c r="H41" s="2494"/>
      <c r="I41" s="2514">
        <v>44</v>
      </c>
      <c r="J41" s="2514"/>
      <c r="K41" s="2514"/>
      <c r="L41" s="2514">
        <v>117.4</v>
      </c>
      <c r="M41" s="1279"/>
      <c r="N41" s="1181"/>
      <c r="O41" s="1086"/>
      <c r="Q41" s="1918">
        <v>45495</v>
      </c>
      <c r="R41" s="1919" t="s">
        <v>92</v>
      </c>
      <c r="S41" s="1919" t="s">
        <v>1288</v>
      </c>
      <c r="T41" s="2069">
        <v>12</v>
      </c>
      <c r="U41" s="1073"/>
      <c r="V41" s="2070"/>
      <c r="W41" s="2070"/>
      <c r="X41" s="1073"/>
      <c r="Y41" s="2071"/>
      <c r="Z41" s="1073">
        <f t="shared" si="8"/>
        <v>12</v>
      </c>
    </row>
    <row r="42" spans="1:26" ht="16" x14ac:dyDescent="0.2">
      <c r="A42" s="1345">
        <v>42</v>
      </c>
      <c r="B42" s="2506"/>
      <c r="C42" s="31" t="s">
        <v>182</v>
      </c>
      <c r="D42" s="424"/>
      <c r="E42" s="424"/>
      <c r="F42" s="424"/>
      <c r="G42" s="2496"/>
      <c r="H42" s="2497"/>
      <c r="I42" s="2515"/>
      <c r="J42" s="2515"/>
      <c r="K42" s="2515"/>
      <c r="L42" s="2515"/>
      <c r="M42" s="1280"/>
      <c r="N42" s="1182"/>
      <c r="O42" s="1086"/>
      <c r="Q42" s="1921">
        <v>45495</v>
      </c>
      <c r="R42" s="1922" t="s">
        <v>128</v>
      </c>
      <c r="S42" s="1922" t="s">
        <v>1285</v>
      </c>
      <c r="T42" s="2069">
        <v>12</v>
      </c>
      <c r="U42" s="1073"/>
      <c r="V42" s="2070"/>
      <c r="W42" s="2070"/>
      <c r="X42" s="1073"/>
      <c r="Y42" s="2071"/>
      <c r="Z42" s="1073">
        <f t="shared" si="8"/>
        <v>12</v>
      </c>
    </row>
    <row r="43" spans="1:26" ht="16" x14ac:dyDescent="0.2">
      <c r="A43" s="1345">
        <v>43</v>
      </c>
      <c r="B43" s="2506"/>
      <c r="C43" s="31" t="s">
        <v>168</v>
      </c>
      <c r="D43" s="424"/>
      <c r="E43" s="424">
        <v>-12.82</v>
      </c>
      <c r="F43" s="424"/>
      <c r="G43" s="2496"/>
      <c r="H43" s="2497"/>
      <c r="I43" s="2515"/>
      <c r="J43" s="2515"/>
      <c r="K43" s="2515"/>
      <c r="L43" s="2515"/>
      <c r="M43" s="1280"/>
      <c r="N43" s="1182"/>
      <c r="O43" s="1086"/>
      <c r="Q43" s="1918">
        <v>45495</v>
      </c>
      <c r="R43" s="1919" t="s">
        <v>131</v>
      </c>
      <c r="S43" s="1919" t="s">
        <v>1285</v>
      </c>
      <c r="T43" s="2069">
        <v>12</v>
      </c>
      <c r="U43" s="1073"/>
      <c r="V43" s="2070"/>
      <c r="W43" s="2070"/>
      <c r="X43" s="1073"/>
      <c r="Y43" s="2071"/>
      <c r="Z43" s="1073">
        <f t="shared" si="8"/>
        <v>12</v>
      </c>
    </row>
    <row r="44" spans="1:26" ht="16" x14ac:dyDescent="0.2">
      <c r="A44" s="1345">
        <v>44</v>
      </c>
      <c r="B44" s="2506"/>
      <c r="C44" s="31" t="s">
        <v>195</v>
      </c>
      <c r="D44" s="424"/>
      <c r="E44" s="424"/>
      <c r="F44" s="424"/>
      <c r="G44" s="2499"/>
      <c r="H44" s="2500"/>
      <c r="I44" s="2516"/>
      <c r="J44" s="2516"/>
      <c r="K44" s="2516"/>
      <c r="L44" s="2516"/>
      <c r="M44" s="1281"/>
      <c r="N44" s="1183"/>
      <c r="O44" s="1086"/>
      <c r="Q44" s="1921">
        <v>45495</v>
      </c>
      <c r="R44" s="1922" t="s">
        <v>864</v>
      </c>
      <c r="S44" s="1922" t="s">
        <v>1285</v>
      </c>
      <c r="T44" s="2069">
        <v>12</v>
      </c>
      <c r="U44" s="1073"/>
      <c r="V44" s="2070"/>
      <c r="W44" s="2070"/>
      <c r="X44" s="1073"/>
      <c r="Y44" s="2071"/>
      <c r="Z44" s="1073">
        <f t="shared" si="8"/>
        <v>12</v>
      </c>
    </row>
    <row r="45" spans="1:26" ht="16" thickBot="1" x14ac:dyDescent="0.25">
      <c r="A45" s="1345">
        <v>45</v>
      </c>
      <c r="B45" s="2507"/>
      <c r="C45" s="24"/>
      <c r="D45" s="42">
        <f t="shared" ref="D45:K45" si="10">SUM(D41)</f>
        <v>0</v>
      </c>
      <c r="E45" s="42">
        <f t="shared" si="10"/>
        <v>70</v>
      </c>
      <c r="F45" s="42">
        <f t="shared" si="10"/>
        <v>0</v>
      </c>
      <c r="G45" s="42">
        <f t="shared" si="10"/>
        <v>0</v>
      </c>
      <c r="H45" s="42">
        <f t="shared" si="10"/>
        <v>0</v>
      </c>
      <c r="I45" s="42">
        <f t="shared" si="10"/>
        <v>44</v>
      </c>
      <c r="J45" s="42">
        <f t="shared" si="10"/>
        <v>0</v>
      </c>
      <c r="K45" s="42">
        <f t="shared" si="10"/>
        <v>0</v>
      </c>
      <c r="L45" s="1058">
        <f t="shared" ref="L45:N45" si="11">SUM(L41:L44)</f>
        <v>117.4</v>
      </c>
      <c r="M45" s="1058">
        <f t="shared" si="11"/>
        <v>0</v>
      </c>
      <c r="N45" s="1058">
        <f t="shared" si="11"/>
        <v>0</v>
      </c>
      <c r="O45" s="1058">
        <f>SUM(O41:O44)</f>
        <v>0</v>
      </c>
      <c r="Q45" s="1918">
        <v>45495</v>
      </c>
      <c r="R45" s="1919" t="s">
        <v>117</v>
      </c>
      <c r="S45" s="1919" t="s">
        <v>1289</v>
      </c>
      <c r="T45" s="2069">
        <v>12</v>
      </c>
      <c r="U45" s="1073"/>
      <c r="V45" s="2070"/>
      <c r="W45" s="2070"/>
      <c r="X45" s="1073"/>
      <c r="Y45" s="2071"/>
      <c r="Z45" s="1073">
        <f t="shared" si="8"/>
        <v>12</v>
      </c>
    </row>
    <row r="46" spans="1:26" ht="16" thickTop="1" x14ac:dyDescent="0.2">
      <c r="A46" s="1345">
        <v>46</v>
      </c>
      <c r="B46" s="1287"/>
      <c r="C46" s="1288"/>
      <c r="D46" s="1289"/>
      <c r="E46" s="1289"/>
      <c r="F46" s="1289"/>
      <c r="G46" s="1289"/>
      <c r="H46" s="1289"/>
      <c r="I46" s="1289"/>
      <c r="J46" s="1289"/>
      <c r="K46" s="1289"/>
      <c r="L46" s="1289"/>
      <c r="M46" s="1289"/>
      <c r="N46" s="1289"/>
      <c r="O46" s="1654">
        <v>750</v>
      </c>
      <c r="Q46" s="1921">
        <v>45495</v>
      </c>
      <c r="R46" s="1922" t="s">
        <v>71</v>
      </c>
      <c r="S46" s="1922" t="s">
        <v>1289</v>
      </c>
      <c r="T46" s="2069">
        <v>12</v>
      </c>
      <c r="U46" s="1073"/>
      <c r="V46" s="2070"/>
      <c r="W46" s="2070"/>
      <c r="X46" s="1073"/>
      <c r="Y46" s="2071"/>
      <c r="Z46" s="1073">
        <f t="shared" si="8"/>
        <v>12</v>
      </c>
    </row>
    <row r="47" spans="1:26" ht="16" thickBot="1" x14ac:dyDescent="0.25">
      <c r="A47" s="1345">
        <v>47</v>
      </c>
      <c r="B47" s="108"/>
      <c r="C47" s="24"/>
      <c r="D47" s="41">
        <f t="shared" ref="D47:K47" si="12">+D45+D39+D32+D26+D20+D13</f>
        <v>1058.4099999999999</v>
      </c>
      <c r="E47" s="41">
        <f t="shared" si="12"/>
        <v>813.68000000000006</v>
      </c>
      <c r="F47" s="41">
        <f t="shared" si="12"/>
        <v>717.93000000000006</v>
      </c>
      <c r="G47" s="41">
        <f t="shared" si="12"/>
        <v>574</v>
      </c>
      <c r="H47" s="41">
        <f t="shared" si="12"/>
        <v>481</v>
      </c>
      <c r="I47" s="41">
        <f t="shared" si="12"/>
        <v>740.99</v>
      </c>
      <c r="J47" s="41">
        <f t="shared" si="12"/>
        <v>0</v>
      </c>
      <c r="K47" s="41">
        <f t="shared" si="12"/>
        <v>237</v>
      </c>
      <c r="L47" s="41">
        <f>+L45+L39+L32+L26+L20+L13+L7+L6+L5</f>
        <v>516.15</v>
      </c>
      <c r="M47" s="41">
        <f t="shared" ref="M47:N47" si="13">+M45+M39+M32+M26+M20+M13+M7+M6+M5</f>
        <v>0</v>
      </c>
      <c r="N47" s="41">
        <f t="shared" si="13"/>
        <v>831.86000000000013</v>
      </c>
      <c r="O47" s="1059">
        <f>+O46+O45+O39+O32+O26+O20+O13+O7+O6+O5</f>
        <v>750</v>
      </c>
      <c r="Q47" s="1918">
        <v>45495</v>
      </c>
      <c r="R47" s="1919" t="s">
        <v>72</v>
      </c>
      <c r="S47" s="1919" t="s">
        <v>1289</v>
      </c>
      <c r="T47" s="2069">
        <v>12</v>
      </c>
      <c r="U47" s="1073"/>
      <c r="V47" s="2070"/>
      <c r="W47" s="2070"/>
      <c r="X47" s="1073"/>
      <c r="Y47" s="2071"/>
      <c r="Z47" s="1073">
        <f t="shared" si="8"/>
        <v>12</v>
      </c>
    </row>
    <row r="48" spans="1:26" ht="16" thickTop="1" x14ac:dyDescent="0.2">
      <c r="Q48" s="1921">
        <v>45495</v>
      </c>
      <c r="R48" s="1922" t="s">
        <v>83</v>
      </c>
      <c r="S48" s="1922" t="s">
        <v>1289</v>
      </c>
      <c r="T48" s="2069">
        <v>12</v>
      </c>
      <c r="U48" s="1073"/>
      <c r="V48" s="2070"/>
      <c r="W48" s="2070"/>
      <c r="X48" s="1073"/>
      <c r="Y48" s="2071"/>
      <c r="Z48" s="1073">
        <f t="shared" si="8"/>
        <v>12</v>
      </c>
    </row>
    <row r="49" spans="17:26" x14ac:dyDescent="0.2">
      <c r="Q49" s="1918">
        <v>45495</v>
      </c>
      <c r="R49" s="1919" t="s">
        <v>1116</v>
      </c>
      <c r="S49" s="1919" t="s">
        <v>1289</v>
      </c>
      <c r="T49" s="2069">
        <v>12</v>
      </c>
      <c r="U49" s="1073"/>
      <c r="V49" s="2070"/>
      <c r="W49" s="2070"/>
      <c r="X49" s="1073"/>
      <c r="Y49" s="2071"/>
      <c r="Z49" s="1073">
        <f t="shared" si="8"/>
        <v>12</v>
      </c>
    </row>
    <row r="50" spans="17:26" x14ac:dyDescent="0.2">
      <c r="Q50" s="1921">
        <v>45495</v>
      </c>
      <c r="R50" s="1922" t="s">
        <v>1114</v>
      </c>
      <c r="S50" s="1922" t="s">
        <v>1289</v>
      </c>
      <c r="T50" s="2069">
        <v>12</v>
      </c>
      <c r="U50" s="1073"/>
      <c r="V50" s="2070"/>
      <c r="W50" s="2070"/>
      <c r="X50" s="1073"/>
      <c r="Y50" s="2071"/>
      <c r="Z50" s="1073">
        <f t="shared" si="8"/>
        <v>12</v>
      </c>
    </row>
    <row r="51" spans="17:26" x14ac:dyDescent="0.2">
      <c r="Q51" s="1918">
        <v>45495</v>
      </c>
      <c r="R51" s="1919" t="s">
        <v>1104</v>
      </c>
      <c r="S51" s="1919" t="s">
        <v>1289</v>
      </c>
      <c r="T51" s="2069">
        <v>12</v>
      </c>
      <c r="U51" s="1073"/>
      <c r="V51" s="2070"/>
      <c r="W51" s="2070"/>
      <c r="X51" s="1073"/>
      <c r="Y51" s="2071"/>
      <c r="Z51" s="1073">
        <f t="shared" si="8"/>
        <v>12</v>
      </c>
    </row>
    <row r="52" spans="17:26" x14ac:dyDescent="0.2">
      <c r="Q52" s="1921">
        <v>45495</v>
      </c>
      <c r="R52" s="1922" t="s">
        <v>114</v>
      </c>
      <c r="S52" s="1922" t="s">
        <v>1289</v>
      </c>
      <c r="T52" s="2069">
        <v>12</v>
      </c>
      <c r="U52" s="1073"/>
      <c r="V52" s="2070"/>
      <c r="W52" s="2070"/>
      <c r="X52" s="1073"/>
      <c r="Y52" s="2071"/>
      <c r="Z52" s="1073">
        <f t="shared" ref="V52:Z85" si="14">+$T52</f>
        <v>12</v>
      </c>
    </row>
    <row r="53" spans="17:26" x14ac:dyDescent="0.2">
      <c r="Q53" s="1918">
        <v>45495</v>
      </c>
      <c r="R53" s="1919" t="s">
        <v>1170</v>
      </c>
      <c r="S53" s="1919" t="s">
        <v>1290</v>
      </c>
      <c r="T53" s="2069">
        <v>13</v>
      </c>
      <c r="U53" s="1073"/>
      <c r="V53" s="2070">
        <f t="shared" si="14"/>
        <v>13</v>
      </c>
      <c r="W53" s="2070"/>
      <c r="X53" s="1073"/>
      <c r="Y53" s="2071"/>
      <c r="Z53" s="1073"/>
    </row>
    <row r="54" spans="17:26" x14ac:dyDescent="0.2">
      <c r="Q54" s="1921">
        <v>45495</v>
      </c>
      <c r="R54" s="1922" t="s">
        <v>78</v>
      </c>
      <c r="S54" s="1922" t="s">
        <v>1291</v>
      </c>
      <c r="T54" s="2069">
        <v>18</v>
      </c>
      <c r="U54" s="1073"/>
      <c r="V54" s="2070"/>
      <c r="W54" s="2070"/>
      <c r="X54" s="1073"/>
      <c r="Y54" s="2071"/>
      <c r="Z54" s="1073">
        <f t="shared" si="14"/>
        <v>18</v>
      </c>
    </row>
    <row r="55" spans="17:26" x14ac:dyDescent="0.2">
      <c r="Q55" s="1918">
        <v>45495</v>
      </c>
      <c r="R55" s="1919" t="s">
        <v>1139</v>
      </c>
      <c r="S55" s="1919" t="s">
        <v>1292</v>
      </c>
      <c r="T55" s="2069">
        <v>140</v>
      </c>
      <c r="U55" s="1073"/>
      <c r="V55" s="2070"/>
      <c r="W55" s="2070"/>
      <c r="X55" s="1073"/>
      <c r="Y55" s="2071"/>
      <c r="Z55" s="1073">
        <f t="shared" si="14"/>
        <v>140</v>
      </c>
    </row>
    <row r="56" spans="17:26" x14ac:dyDescent="0.2">
      <c r="Q56" s="1921">
        <v>45523</v>
      </c>
      <c r="R56" s="1922" t="s">
        <v>101</v>
      </c>
      <c r="S56" s="1922" t="s">
        <v>1293</v>
      </c>
      <c r="T56" s="2069">
        <v>-133.13999999999999</v>
      </c>
      <c r="U56" s="1073">
        <f t="shared" ref="U56:U66" si="15">+T56</f>
        <v>-133.13999999999999</v>
      </c>
      <c r="V56" s="2070"/>
      <c r="W56" s="2070"/>
      <c r="X56" s="1073"/>
      <c r="Y56" s="2071"/>
      <c r="Z56" s="1073"/>
    </row>
    <row r="57" spans="17:26" x14ac:dyDescent="0.2">
      <c r="Q57" s="1918">
        <v>45526</v>
      </c>
      <c r="R57" s="1919" t="s">
        <v>135</v>
      </c>
      <c r="S57" s="1919" t="s">
        <v>3</v>
      </c>
      <c r="T57" s="2069">
        <v>-40.25</v>
      </c>
      <c r="U57" s="1073">
        <f t="shared" si="15"/>
        <v>-40.25</v>
      </c>
      <c r="V57" s="2070"/>
      <c r="W57" s="2070"/>
      <c r="X57" s="1073"/>
      <c r="Y57" s="2071"/>
      <c r="Z57" s="1073"/>
    </row>
    <row r="58" spans="17:26" x14ac:dyDescent="0.2">
      <c r="Q58" s="1921">
        <v>45526</v>
      </c>
      <c r="R58" s="1922" t="s">
        <v>117</v>
      </c>
      <c r="S58" s="1922" t="s">
        <v>1293</v>
      </c>
      <c r="T58" s="2069">
        <v>-39.29</v>
      </c>
      <c r="U58" s="1073">
        <f t="shared" si="15"/>
        <v>-39.29</v>
      </c>
      <c r="V58" s="2070"/>
      <c r="W58" s="2070"/>
      <c r="X58" s="1073"/>
      <c r="Y58" s="2071"/>
      <c r="Z58" s="1073"/>
    </row>
    <row r="59" spans="17:26" x14ac:dyDescent="0.2">
      <c r="Q59" s="1918">
        <v>45526</v>
      </c>
      <c r="R59" s="1919" t="s">
        <v>536</v>
      </c>
      <c r="S59" s="1919" t="s">
        <v>1294</v>
      </c>
      <c r="T59" s="2069">
        <v>10</v>
      </c>
      <c r="U59" s="1073">
        <f t="shared" si="15"/>
        <v>10</v>
      </c>
      <c r="V59" s="2070"/>
      <c r="W59" s="2070"/>
      <c r="X59" s="1073"/>
      <c r="Y59" s="2071"/>
      <c r="Z59" s="1073"/>
    </row>
    <row r="60" spans="17:26" x14ac:dyDescent="0.2">
      <c r="Q60" s="1921">
        <v>45526</v>
      </c>
      <c r="R60" s="1922" t="s">
        <v>130</v>
      </c>
      <c r="S60" s="1922" t="s">
        <v>1295</v>
      </c>
      <c r="T60" s="2069">
        <v>10</v>
      </c>
      <c r="U60" s="1073">
        <f t="shared" si="15"/>
        <v>10</v>
      </c>
      <c r="V60" s="2070"/>
      <c r="W60" s="2070"/>
      <c r="X60" s="1073"/>
      <c r="Y60" s="2071"/>
      <c r="Z60" s="1073"/>
    </row>
    <row r="61" spans="17:26" x14ac:dyDescent="0.2">
      <c r="Q61" s="1918">
        <v>45526</v>
      </c>
      <c r="R61" s="1919" t="s">
        <v>126</v>
      </c>
      <c r="S61" s="1919" t="s">
        <v>1295</v>
      </c>
      <c r="T61" s="2069">
        <v>10</v>
      </c>
      <c r="U61" s="1073">
        <f t="shared" si="15"/>
        <v>10</v>
      </c>
      <c r="V61" s="2070"/>
      <c r="W61" s="2070"/>
      <c r="X61" s="1073"/>
      <c r="Y61" s="2071"/>
      <c r="Z61" s="1073"/>
    </row>
    <row r="62" spans="17:26" x14ac:dyDescent="0.2">
      <c r="Q62" s="1921">
        <v>45526</v>
      </c>
      <c r="R62" s="1922" t="s">
        <v>128</v>
      </c>
      <c r="S62" s="1922" t="s">
        <v>1294</v>
      </c>
      <c r="T62" s="2069">
        <v>10</v>
      </c>
      <c r="U62" s="1073">
        <f t="shared" si="15"/>
        <v>10</v>
      </c>
      <c r="V62" s="2070"/>
      <c r="W62" s="2070"/>
      <c r="X62" s="1073"/>
      <c r="Y62" s="2071"/>
      <c r="Z62" s="1073"/>
    </row>
    <row r="63" spans="17:26" x14ac:dyDescent="0.2">
      <c r="Q63" s="1918">
        <v>45526</v>
      </c>
      <c r="R63" s="1919" t="s">
        <v>71</v>
      </c>
      <c r="S63" s="1919" t="s">
        <v>1295</v>
      </c>
      <c r="T63" s="2069">
        <v>10</v>
      </c>
      <c r="U63" s="1073">
        <f t="shared" si="15"/>
        <v>10</v>
      </c>
      <c r="V63" s="2070"/>
      <c r="W63" s="2070"/>
      <c r="X63" s="1073"/>
      <c r="Y63" s="2071"/>
      <c r="Z63" s="1073"/>
    </row>
    <row r="64" spans="17:26" x14ac:dyDescent="0.2">
      <c r="Q64" s="1921">
        <v>45526</v>
      </c>
      <c r="R64" s="1922" t="s">
        <v>1099</v>
      </c>
      <c r="S64" s="1922" t="s">
        <v>1295</v>
      </c>
      <c r="T64" s="2069">
        <v>10</v>
      </c>
      <c r="U64" s="1073">
        <f t="shared" si="15"/>
        <v>10</v>
      </c>
      <c r="V64" s="2070"/>
      <c r="W64" s="2070"/>
      <c r="X64" s="1073"/>
      <c r="Y64" s="2071"/>
      <c r="Z64" s="1073"/>
    </row>
    <row r="65" spans="17:26" x14ac:dyDescent="0.2">
      <c r="Q65" s="1918">
        <v>45526</v>
      </c>
      <c r="R65" s="1919" t="s">
        <v>102</v>
      </c>
      <c r="S65" s="1919" t="s">
        <v>1295</v>
      </c>
      <c r="T65" s="2069">
        <v>10</v>
      </c>
      <c r="U65" s="1073">
        <f t="shared" si="15"/>
        <v>10</v>
      </c>
      <c r="V65" s="2070"/>
      <c r="W65" s="2070"/>
      <c r="X65" s="1073"/>
      <c r="Y65" s="2071"/>
      <c r="Z65" s="1073"/>
    </row>
    <row r="66" spans="17:26" x14ac:dyDescent="0.2">
      <c r="Q66" s="1921">
        <v>45526</v>
      </c>
      <c r="R66" s="1922" t="s">
        <v>135</v>
      </c>
      <c r="S66" s="1922" t="s">
        <v>1295</v>
      </c>
      <c r="T66" s="2069">
        <v>10</v>
      </c>
      <c r="U66" s="1073">
        <f t="shared" si="15"/>
        <v>10</v>
      </c>
      <c r="V66" s="2070"/>
      <c r="W66" s="2070"/>
      <c r="X66" s="1073"/>
      <c r="Y66" s="2071"/>
      <c r="Z66" s="1073"/>
    </row>
    <row r="67" spans="17:26" x14ac:dyDescent="0.2">
      <c r="Q67" s="1918">
        <v>45526</v>
      </c>
      <c r="R67" s="1919" t="s">
        <v>1170</v>
      </c>
      <c r="S67" s="1919" t="s">
        <v>1296</v>
      </c>
      <c r="T67" s="2069">
        <v>15</v>
      </c>
      <c r="U67" s="1073"/>
      <c r="V67" s="2070">
        <f t="shared" si="14"/>
        <v>15</v>
      </c>
      <c r="W67" s="2070"/>
      <c r="X67" s="1073"/>
      <c r="Y67" s="2071"/>
      <c r="Z67" s="1073"/>
    </row>
    <row r="68" spans="17:26" x14ac:dyDescent="0.2">
      <c r="Q68" s="1921">
        <v>45526</v>
      </c>
      <c r="R68" s="1922" t="s">
        <v>154</v>
      </c>
      <c r="S68" s="1922" t="s">
        <v>1297</v>
      </c>
      <c r="T68" s="2069">
        <v>20</v>
      </c>
      <c r="U68" s="1073">
        <f t="shared" ref="U68:U84" si="16">+T68</f>
        <v>20</v>
      </c>
      <c r="V68" s="2070"/>
      <c r="W68" s="2070"/>
      <c r="X68" s="1073"/>
      <c r="Y68" s="2071"/>
      <c r="Z68" s="1073"/>
    </row>
    <row r="69" spans="17:26" x14ac:dyDescent="0.2">
      <c r="Q69" s="1918">
        <v>45526</v>
      </c>
      <c r="R69" s="1919" t="s">
        <v>1116</v>
      </c>
      <c r="S69" s="1919" t="s">
        <v>1297</v>
      </c>
      <c r="T69" s="2069">
        <v>20</v>
      </c>
      <c r="U69" s="1073">
        <f t="shared" si="16"/>
        <v>20</v>
      </c>
      <c r="V69" s="2070"/>
      <c r="W69" s="2070"/>
      <c r="X69" s="1073"/>
      <c r="Y69" s="2071"/>
      <c r="Z69" s="1073"/>
    </row>
    <row r="70" spans="17:26" x14ac:dyDescent="0.2">
      <c r="Q70" s="1921">
        <v>45526</v>
      </c>
      <c r="R70" s="1922" t="s">
        <v>81</v>
      </c>
      <c r="S70" s="1922" t="s">
        <v>1297</v>
      </c>
      <c r="T70" s="2069">
        <v>20</v>
      </c>
      <c r="U70" s="1073">
        <f t="shared" si="16"/>
        <v>20</v>
      </c>
      <c r="V70" s="2070"/>
      <c r="W70" s="2070"/>
      <c r="X70" s="1073"/>
      <c r="Y70" s="2071"/>
      <c r="Z70" s="1073"/>
    </row>
    <row r="71" spans="17:26" x14ac:dyDescent="0.2">
      <c r="Q71" s="1918">
        <v>45526</v>
      </c>
      <c r="R71" s="1919" t="s">
        <v>106</v>
      </c>
      <c r="S71" s="1919" t="s">
        <v>1298</v>
      </c>
      <c r="T71" s="2069">
        <v>20</v>
      </c>
      <c r="U71" s="1073">
        <f t="shared" si="16"/>
        <v>20</v>
      </c>
      <c r="V71" s="2070"/>
      <c r="W71" s="2070"/>
      <c r="X71" s="1073"/>
      <c r="Y71" s="2071"/>
      <c r="Z71" s="1073"/>
    </row>
    <row r="72" spans="17:26" x14ac:dyDescent="0.2">
      <c r="Q72" s="1921">
        <v>45526</v>
      </c>
      <c r="R72" s="1922" t="s">
        <v>1104</v>
      </c>
      <c r="S72" s="1922" t="s">
        <v>1298</v>
      </c>
      <c r="T72" s="2069">
        <v>20</v>
      </c>
      <c r="U72" s="1073">
        <f t="shared" si="16"/>
        <v>20</v>
      </c>
      <c r="V72" s="2070"/>
      <c r="W72" s="2070"/>
      <c r="X72" s="1073"/>
      <c r="Y72" s="2071"/>
      <c r="Z72" s="1073"/>
    </row>
    <row r="73" spans="17:26" x14ac:dyDescent="0.2">
      <c r="Q73" s="1918">
        <v>45526</v>
      </c>
      <c r="R73" s="1919" t="s">
        <v>114</v>
      </c>
      <c r="S73" s="1919" t="s">
        <v>1299</v>
      </c>
      <c r="T73" s="2069">
        <v>20</v>
      </c>
      <c r="U73" s="1073">
        <f t="shared" si="16"/>
        <v>20</v>
      </c>
      <c r="V73" s="2070"/>
      <c r="W73" s="2070"/>
      <c r="X73" s="1073"/>
      <c r="Y73" s="2071"/>
      <c r="Z73" s="1073"/>
    </row>
    <row r="74" spans="17:26" x14ac:dyDescent="0.2">
      <c r="Q74" s="1921">
        <v>45526</v>
      </c>
      <c r="R74" s="1922" t="s">
        <v>117</v>
      </c>
      <c r="S74" s="1922" t="s">
        <v>1299</v>
      </c>
      <c r="T74" s="2069">
        <v>20</v>
      </c>
      <c r="U74" s="1073">
        <f t="shared" si="16"/>
        <v>20</v>
      </c>
      <c r="V74" s="2070"/>
      <c r="W74" s="2070"/>
      <c r="X74" s="1073"/>
      <c r="Y74" s="2071"/>
      <c r="Z74" s="1073"/>
    </row>
    <row r="75" spans="17:26" x14ac:dyDescent="0.2">
      <c r="Q75" s="1918">
        <v>45526</v>
      </c>
      <c r="R75" s="1919" t="s">
        <v>101</v>
      </c>
      <c r="S75" s="1919" t="s">
        <v>1299</v>
      </c>
      <c r="T75" s="2069">
        <v>20</v>
      </c>
      <c r="U75" s="1073">
        <f t="shared" si="16"/>
        <v>20</v>
      </c>
      <c r="V75" s="2070"/>
      <c r="W75" s="2070"/>
      <c r="X75" s="1073"/>
      <c r="Y75" s="2071"/>
      <c r="Z75" s="1073"/>
    </row>
    <row r="76" spans="17:26" x14ac:dyDescent="0.2">
      <c r="Q76" s="1921">
        <v>45526</v>
      </c>
      <c r="R76" s="1922" t="s">
        <v>104</v>
      </c>
      <c r="S76" s="1922" t="s">
        <v>1299</v>
      </c>
      <c r="T76" s="2069">
        <v>20</v>
      </c>
      <c r="U76" s="1073">
        <f t="shared" si="16"/>
        <v>20</v>
      </c>
      <c r="V76" s="2070"/>
      <c r="W76" s="2070"/>
      <c r="X76" s="1073"/>
      <c r="Y76" s="2071"/>
      <c r="Z76" s="1073"/>
    </row>
    <row r="77" spans="17:26" x14ac:dyDescent="0.2">
      <c r="Q77" s="1918">
        <v>45526</v>
      </c>
      <c r="R77" s="1919" t="s">
        <v>146</v>
      </c>
      <c r="S77" s="1919" t="s">
        <v>1299</v>
      </c>
      <c r="T77" s="2069">
        <v>20</v>
      </c>
      <c r="U77" s="1073">
        <f t="shared" si="16"/>
        <v>20</v>
      </c>
      <c r="V77" s="2070"/>
      <c r="W77" s="2070"/>
      <c r="X77" s="1073"/>
      <c r="Y77" s="2071"/>
      <c r="Z77" s="1073"/>
    </row>
    <row r="78" spans="17:26" x14ac:dyDescent="0.2">
      <c r="Q78" s="1921">
        <v>45526</v>
      </c>
      <c r="R78" s="1922" t="s">
        <v>110</v>
      </c>
      <c r="S78" s="1922" t="s">
        <v>1299</v>
      </c>
      <c r="T78" s="2069">
        <v>20</v>
      </c>
      <c r="U78" s="1073">
        <f t="shared" si="16"/>
        <v>20</v>
      </c>
      <c r="V78" s="2070"/>
      <c r="W78" s="2070"/>
      <c r="X78" s="1073"/>
      <c r="Y78" s="2071"/>
      <c r="Z78" s="1073"/>
    </row>
    <row r="79" spans="17:26" x14ac:dyDescent="0.2">
      <c r="Q79" s="1918">
        <v>45526</v>
      </c>
      <c r="R79" s="1919" t="s">
        <v>865</v>
      </c>
      <c r="S79" s="1919" t="s">
        <v>1299</v>
      </c>
      <c r="T79" s="2069">
        <v>20</v>
      </c>
      <c r="U79" s="1073">
        <f t="shared" si="16"/>
        <v>20</v>
      </c>
      <c r="V79" s="2070"/>
      <c r="W79" s="2070"/>
      <c r="X79" s="1073"/>
      <c r="Y79" s="2071"/>
      <c r="Z79" s="1073"/>
    </row>
    <row r="80" spans="17:26" x14ac:dyDescent="0.2">
      <c r="Q80" s="1921">
        <v>45526</v>
      </c>
      <c r="R80" s="1922" t="s">
        <v>659</v>
      </c>
      <c r="S80" s="1922" t="s">
        <v>1299</v>
      </c>
      <c r="T80" s="2069">
        <v>20</v>
      </c>
      <c r="U80" s="1073">
        <f t="shared" si="16"/>
        <v>20</v>
      </c>
      <c r="V80" s="2070"/>
      <c r="W80" s="2070"/>
      <c r="X80" s="1073"/>
      <c r="Y80" s="2071"/>
      <c r="Z80" s="1073"/>
    </row>
    <row r="81" spans="17:26" x14ac:dyDescent="0.2">
      <c r="Q81" s="1918">
        <v>45526</v>
      </c>
      <c r="R81" s="1919" t="s">
        <v>864</v>
      </c>
      <c r="S81" s="1919" t="s">
        <v>1299</v>
      </c>
      <c r="T81" s="2069">
        <v>20</v>
      </c>
      <c r="U81" s="1073">
        <f t="shared" si="16"/>
        <v>20</v>
      </c>
      <c r="V81" s="2070"/>
      <c r="W81" s="2070"/>
      <c r="X81" s="1073"/>
      <c r="Y81" s="2071"/>
      <c r="Z81" s="1073"/>
    </row>
    <row r="82" spans="17:26" x14ac:dyDescent="0.2">
      <c r="Q82" s="1921">
        <v>45526</v>
      </c>
      <c r="R82" s="1922" t="s">
        <v>92</v>
      </c>
      <c r="S82" s="1922" t="s">
        <v>1300</v>
      </c>
      <c r="T82" s="2069">
        <v>30</v>
      </c>
      <c r="U82" s="1073">
        <f t="shared" si="16"/>
        <v>30</v>
      </c>
      <c r="V82" s="2070"/>
      <c r="W82" s="2070"/>
      <c r="X82" s="1073"/>
      <c r="Y82" s="2071"/>
      <c r="Z82" s="1073"/>
    </row>
    <row r="83" spans="17:26" x14ac:dyDescent="0.2">
      <c r="Q83" s="1918">
        <v>45526</v>
      </c>
      <c r="R83" s="1919" t="s">
        <v>1170</v>
      </c>
      <c r="S83" s="1919" t="s">
        <v>1301</v>
      </c>
      <c r="T83" s="2069">
        <v>32</v>
      </c>
      <c r="U83" s="1073"/>
      <c r="V83" s="2070"/>
      <c r="W83" s="2070"/>
      <c r="X83" s="1073">
        <f t="shared" si="14"/>
        <v>32</v>
      </c>
      <c r="Y83" s="2071"/>
      <c r="Z83" s="1073"/>
    </row>
    <row r="84" spans="17:26" x14ac:dyDescent="0.2">
      <c r="Q84" s="1921">
        <v>45526</v>
      </c>
      <c r="R84" s="1922" t="s">
        <v>103</v>
      </c>
      <c r="S84" s="1922" t="s">
        <v>1302</v>
      </c>
      <c r="T84" s="2069">
        <v>133</v>
      </c>
      <c r="U84" s="1073">
        <f t="shared" si="16"/>
        <v>133</v>
      </c>
      <c r="V84" s="2070"/>
      <c r="W84" s="2070"/>
      <c r="X84" s="1073"/>
      <c r="Y84" s="2071"/>
      <c r="Z84" s="1073"/>
    </row>
    <row r="85" spans="17:26" x14ac:dyDescent="0.2">
      <c r="Q85" s="1918">
        <v>45565</v>
      </c>
      <c r="R85" s="1919" t="s">
        <v>1170</v>
      </c>
      <c r="S85" s="1919" t="s">
        <v>1303</v>
      </c>
      <c r="T85" s="2069">
        <v>14</v>
      </c>
      <c r="U85" s="1073"/>
      <c r="V85" s="2070">
        <f t="shared" si="14"/>
        <v>14</v>
      </c>
      <c r="W85" s="2070"/>
      <c r="X85" s="1073"/>
      <c r="Y85" s="2071"/>
      <c r="Z85" s="1073"/>
    </row>
    <row r="86" spans="17:26" ht="16" thickBot="1" x14ac:dyDescent="0.25">
      <c r="Q86" s="2072"/>
      <c r="R86" s="2072"/>
      <c r="S86" s="2072"/>
      <c r="T86" s="2073">
        <f>SUM(T2:T85)</f>
        <v>831.86</v>
      </c>
      <c r="U86" s="2073">
        <f t="shared" ref="U86:Z86" si="17">SUM(U2:U85)</f>
        <v>288.82000000000005</v>
      </c>
      <c r="V86" s="2073">
        <f t="shared" si="17"/>
        <v>73</v>
      </c>
      <c r="W86" s="2073">
        <f t="shared" si="17"/>
        <v>160.18</v>
      </c>
      <c r="X86" s="2073">
        <f t="shared" si="17"/>
        <v>32</v>
      </c>
      <c r="Y86" s="2073">
        <f t="shared" si="17"/>
        <v>-21</v>
      </c>
      <c r="Z86" s="2073">
        <f t="shared" si="17"/>
        <v>298.86</v>
      </c>
    </row>
    <row r="87" spans="17:26" ht="16" thickTop="1" x14ac:dyDescent="0.2"/>
  </sheetData>
  <autoFilter ref="Q2:Z86" xr:uid="{00000000-0001-0000-1700-000000000000}"/>
  <mergeCells count="34">
    <mergeCell ref="N28:N31"/>
    <mergeCell ref="N34:N38"/>
    <mergeCell ref="L28:L31"/>
    <mergeCell ref="L34:L38"/>
    <mergeCell ref="L22:L25"/>
    <mergeCell ref="N22:N25"/>
    <mergeCell ref="J41:J44"/>
    <mergeCell ref="L41:L44"/>
    <mergeCell ref="K41:K44"/>
    <mergeCell ref="D4:K4"/>
    <mergeCell ref="J28:J31"/>
    <mergeCell ref="K15:K19"/>
    <mergeCell ref="K28:K31"/>
    <mergeCell ref="K34:K38"/>
    <mergeCell ref="H34:H38"/>
    <mergeCell ref="G41:H44"/>
    <mergeCell ref="J15:J19"/>
    <mergeCell ref="I41:I44"/>
    <mergeCell ref="J34:J38"/>
    <mergeCell ref="G22:H25"/>
    <mergeCell ref="J22:J25"/>
    <mergeCell ref="K22:K25"/>
    <mergeCell ref="B41:B45"/>
    <mergeCell ref="B8:B13"/>
    <mergeCell ref="B15:B20"/>
    <mergeCell ref="B34:B39"/>
    <mergeCell ref="B28:B32"/>
    <mergeCell ref="B22:B26"/>
    <mergeCell ref="B1:O1"/>
    <mergeCell ref="B2:O2"/>
    <mergeCell ref="H15:H19"/>
    <mergeCell ref="E8:H12"/>
    <mergeCell ref="L15:L19"/>
    <mergeCell ref="L3:N3"/>
  </mergeCells>
  <conditionalFormatting sqref="A1:B1">
    <cfRule type="cellIs" dxfId="42" priority="1" operator="equal">
      <formula>0</formula>
    </cfRule>
  </conditionalFormatting>
  <conditionalFormatting sqref="B2">
    <cfRule type="cellIs" dxfId="41" priority="4" operator="equal">
      <formula>0</formula>
    </cfRule>
  </conditionalFormatting>
  <hyperlinks>
    <hyperlink ref="B1" location="Summary!A1" display="Summary!A1" xr:uid="{EC62FA3F-3F37-4260-A966-8284039AE385}"/>
    <hyperlink ref="O47" location="Summary!T41" display="Summary!T41" xr:uid="{0BA0313F-5FBB-4456-8F0C-657F0222B441}"/>
  </hyperlinks>
  <printOptions horizontalCentered="1"/>
  <pageMargins left="0.70866141732283472" right="0" top="0.54" bottom="0" header="0.11811023622047245"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FF00"/>
  </sheetPr>
  <dimension ref="A1:P12"/>
  <sheetViews>
    <sheetView zoomScaleNormal="100" zoomScaleSheetLayoutView="100" workbookViewId="0">
      <pane xSplit="1" ySplit="4" topLeftCell="B5" activePane="bottomRight" state="frozen"/>
      <selection activeCell="L17" sqref="L17"/>
      <selection pane="topRight" activeCell="L17" sqref="L17"/>
      <selection pane="bottomLeft" activeCell="L17" sqref="L17"/>
      <selection pane="bottomRight" activeCell="L17" sqref="L17"/>
    </sheetView>
  </sheetViews>
  <sheetFormatPr baseColWidth="10" defaultColWidth="8.83203125" defaultRowHeight="15" x14ac:dyDescent="0.2"/>
  <cols>
    <col min="1" max="1" width="4.6640625" style="14" customWidth="1"/>
    <col min="2" max="2" width="17.83203125" style="14" customWidth="1"/>
    <col min="3" max="8" width="9.1640625" style="14" hidden="1" customWidth="1"/>
    <col min="9" max="12" width="0" style="14" hidden="1" customWidth="1"/>
    <col min="13" max="16384" width="8.83203125" style="14"/>
  </cols>
  <sheetData>
    <row r="1" spans="1:16" s="1909" customFormat="1" ht="24" x14ac:dyDescent="0.2">
      <c r="A1" s="2074"/>
      <c r="B1" s="2289" t="s">
        <v>725</v>
      </c>
      <c r="C1" s="2289"/>
      <c r="D1" s="2289"/>
      <c r="E1" s="2289"/>
      <c r="F1" s="2289"/>
      <c r="G1" s="2289"/>
      <c r="H1" s="2289"/>
      <c r="I1" s="2289"/>
      <c r="J1" s="2289"/>
      <c r="K1" s="2289"/>
      <c r="L1" s="2289"/>
      <c r="M1" s="2289"/>
      <c r="N1" s="2289"/>
      <c r="O1" s="2289"/>
      <c r="P1" s="2289"/>
    </row>
    <row r="2" spans="1:16" ht="16" x14ac:dyDescent="0.2">
      <c r="B2" s="2530" t="s">
        <v>33</v>
      </c>
      <c r="C2" s="2530"/>
      <c r="D2" s="2530"/>
      <c r="E2" s="2530"/>
      <c r="F2" s="2530"/>
      <c r="G2" s="2530"/>
      <c r="H2" s="2530"/>
      <c r="I2" s="2530"/>
      <c r="J2" s="2530"/>
      <c r="K2" s="2530"/>
      <c r="L2" s="2530"/>
      <c r="M2" s="2530"/>
      <c r="N2" s="2530"/>
      <c r="O2" s="2530"/>
      <c r="P2" s="2530"/>
    </row>
    <row r="3" spans="1:16" ht="16" x14ac:dyDescent="0.2">
      <c r="B3" s="170"/>
      <c r="C3" s="170">
        <v>2012</v>
      </c>
      <c r="D3" s="170">
        <v>2013</v>
      </c>
      <c r="E3" s="170">
        <v>2014</v>
      </c>
      <c r="F3" s="170">
        <v>2015</v>
      </c>
      <c r="G3" s="170">
        <v>2016</v>
      </c>
      <c r="H3" s="170">
        <v>2017</v>
      </c>
      <c r="I3" s="170">
        <v>2018</v>
      </c>
      <c r="J3" s="170">
        <v>2019</v>
      </c>
      <c r="K3" s="170">
        <v>2020</v>
      </c>
      <c r="L3" s="170">
        <v>2021</v>
      </c>
      <c r="M3" s="2337" t="s">
        <v>481</v>
      </c>
      <c r="N3" s="2337"/>
      <c r="O3" s="2337"/>
      <c r="P3" s="1475" t="s">
        <v>519</v>
      </c>
    </row>
    <row r="4" spans="1:16" x14ac:dyDescent="0.2">
      <c r="B4" s="18"/>
      <c r="C4" s="2529" t="s">
        <v>481</v>
      </c>
      <c r="D4" s="2529"/>
      <c r="E4" s="2529"/>
      <c r="F4" s="2529"/>
      <c r="G4" s="2529"/>
      <c r="H4" s="2529"/>
      <c r="I4" s="2529"/>
      <c r="J4" s="2529"/>
      <c r="K4" s="2529"/>
      <c r="L4" s="170"/>
      <c r="M4" s="170">
        <v>2022</v>
      </c>
      <c r="N4" s="170">
        <v>2023</v>
      </c>
      <c r="O4" s="170">
        <v>2024</v>
      </c>
      <c r="P4" s="170">
        <v>2025</v>
      </c>
    </row>
    <row r="5" spans="1:16" ht="16" x14ac:dyDescent="0.2">
      <c r="B5" s="170" t="s">
        <v>1000</v>
      </c>
      <c r="C5" s="110">
        <v>10</v>
      </c>
      <c r="D5" s="112">
        <v>2</v>
      </c>
      <c r="E5" s="110">
        <v>10</v>
      </c>
      <c r="F5" s="111">
        <v>14</v>
      </c>
      <c r="G5" s="111">
        <v>13.8</v>
      </c>
      <c r="H5" s="82">
        <v>3</v>
      </c>
      <c r="I5" s="82">
        <v>10</v>
      </c>
      <c r="J5" s="82">
        <v>10</v>
      </c>
      <c r="K5" s="82">
        <v>10</v>
      </c>
      <c r="L5" s="874"/>
      <c r="M5" s="874"/>
      <c r="N5" s="877"/>
      <c r="O5" s="877"/>
      <c r="P5" s="877"/>
    </row>
    <row r="6" spans="1:16" x14ac:dyDescent="0.2">
      <c r="B6" s="170"/>
      <c r="C6" s="170"/>
      <c r="D6" s="170"/>
      <c r="E6" s="170"/>
      <c r="F6" s="170"/>
      <c r="G6" s="170"/>
      <c r="H6" s="170"/>
      <c r="I6" s="170"/>
      <c r="J6" s="170"/>
      <c r="K6" s="170"/>
      <c r="L6" s="874"/>
      <c r="M6" s="874"/>
      <c r="N6" s="877"/>
      <c r="O6" s="877"/>
      <c r="P6" s="877"/>
    </row>
    <row r="7" spans="1:16" ht="30" x14ac:dyDescent="0.2">
      <c r="B7" s="2075" t="s">
        <v>1305</v>
      </c>
      <c r="C7" s="170"/>
      <c r="D7" s="170"/>
      <c r="E7" s="170"/>
      <c r="F7" s="170"/>
      <c r="G7" s="170"/>
      <c r="H7" s="170"/>
      <c r="I7" s="170"/>
      <c r="J7" s="170"/>
      <c r="K7" s="170"/>
      <c r="L7" s="874"/>
      <c r="M7" s="874"/>
      <c r="N7" s="877"/>
      <c r="O7" s="877"/>
      <c r="P7" s="877"/>
    </row>
    <row r="8" spans="1:16" x14ac:dyDescent="0.2">
      <c r="B8" s="170"/>
      <c r="C8" s="170"/>
      <c r="D8" s="170"/>
      <c r="E8" s="170"/>
      <c r="F8" s="170"/>
      <c r="G8" s="170"/>
      <c r="H8" s="170"/>
      <c r="I8" s="170"/>
      <c r="J8" s="170"/>
      <c r="K8" s="170"/>
      <c r="L8" s="874"/>
      <c r="M8" s="874"/>
      <c r="N8" s="877"/>
      <c r="O8" s="877"/>
      <c r="P8" s="877"/>
    </row>
    <row r="9" spans="1:16" x14ac:dyDescent="0.2">
      <c r="B9" s="170"/>
      <c r="C9" s="170"/>
      <c r="D9" s="170"/>
      <c r="E9" s="170"/>
      <c r="F9" s="170"/>
      <c r="G9" s="170"/>
      <c r="H9" s="170"/>
      <c r="I9" s="170"/>
      <c r="J9" s="170"/>
      <c r="K9" s="170"/>
      <c r="L9" s="874"/>
      <c r="M9" s="874"/>
      <c r="N9" s="877"/>
      <c r="O9" s="877"/>
      <c r="P9" s="877"/>
    </row>
    <row r="10" spans="1:16" x14ac:dyDescent="0.2">
      <c r="B10" s="170"/>
      <c r="C10" s="872"/>
      <c r="D10" s="170"/>
      <c r="E10" s="170"/>
      <c r="F10" s="170"/>
      <c r="G10" s="170"/>
      <c r="H10" s="170"/>
      <c r="I10" s="170"/>
      <c r="J10" s="170"/>
      <c r="K10" s="170"/>
      <c r="L10" s="874"/>
      <c r="M10" s="874"/>
      <c r="N10" s="877"/>
      <c r="O10" s="877"/>
      <c r="P10" s="986">
        <v>0</v>
      </c>
    </row>
    <row r="11" spans="1:16" ht="16" thickBot="1" x14ac:dyDescent="0.25">
      <c r="B11" s="871"/>
      <c r="C11" s="873">
        <f>SUM(C5:C10)</f>
        <v>10</v>
      </c>
      <c r="D11" s="873">
        <f t="shared" ref="D11:O11" si="0">SUM(D5:D10)</f>
        <v>2</v>
      </c>
      <c r="E11" s="873">
        <f t="shared" si="0"/>
        <v>10</v>
      </c>
      <c r="F11" s="873">
        <f t="shared" si="0"/>
        <v>14</v>
      </c>
      <c r="G11" s="873">
        <f t="shared" si="0"/>
        <v>13.8</v>
      </c>
      <c r="H11" s="873">
        <f t="shared" si="0"/>
        <v>3</v>
      </c>
      <c r="I11" s="873">
        <f t="shared" si="0"/>
        <v>10</v>
      </c>
      <c r="J11" s="873">
        <f t="shared" si="0"/>
        <v>10</v>
      </c>
      <c r="K11" s="875">
        <f t="shared" si="0"/>
        <v>10</v>
      </c>
      <c r="L11" s="875">
        <f t="shared" si="0"/>
        <v>0</v>
      </c>
      <c r="M11" s="876">
        <f t="shared" si="0"/>
        <v>0</v>
      </c>
      <c r="N11" s="1083">
        <f t="shared" si="0"/>
        <v>0</v>
      </c>
      <c r="O11" s="1083">
        <f t="shared" si="0"/>
        <v>0</v>
      </c>
      <c r="P11" s="972">
        <f>SUM(P5:P10)</f>
        <v>0</v>
      </c>
    </row>
    <row r="12" spans="1:16" ht="16" thickTop="1" x14ac:dyDescent="0.2"/>
  </sheetData>
  <mergeCells count="4">
    <mergeCell ref="C4:K4"/>
    <mergeCell ref="M3:O3"/>
    <mergeCell ref="B1:P1"/>
    <mergeCell ref="B2:P2"/>
  </mergeCells>
  <conditionalFormatting sqref="B1:B10 M5:P10 B11:M11">
    <cfRule type="cellIs" dxfId="40" priority="6" operator="equal">
      <formula>0</formula>
    </cfRule>
  </conditionalFormatting>
  <conditionalFormatting sqref="C5:G5">
    <cfRule type="cellIs" dxfId="39" priority="1" operator="equal">
      <formula>0</formula>
    </cfRule>
  </conditionalFormatting>
  <conditionalFormatting sqref="C3:K3">
    <cfRule type="cellIs" dxfId="38" priority="4" operator="equal">
      <formula>0</formula>
    </cfRule>
  </conditionalFormatting>
  <conditionalFormatting sqref="M3:M4 N4:O4">
    <cfRule type="cellIs" dxfId="37" priority="2" operator="equal">
      <formula>0</formula>
    </cfRule>
  </conditionalFormatting>
  <conditionalFormatting sqref="P3:P4 L3:L10 C4 C6:C10">
    <cfRule type="cellIs" dxfId="36" priority="12" operator="equal">
      <formula>0</formula>
    </cfRule>
  </conditionalFormatting>
  <hyperlinks>
    <hyperlink ref="B1" location="Summary!A1" display="Summary!A1" xr:uid="{58738EF5-0FC6-4A10-B162-3FDF0CC617E3}"/>
    <hyperlink ref="P11" location="Summary!T42" display="Summary!T42" xr:uid="{0FD5593D-6F90-436A-872B-A975F3990D84}"/>
  </hyperlinks>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00FF00"/>
  </sheetPr>
  <dimension ref="B1:R8"/>
  <sheetViews>
    <sheetView zoomScaleNormal="100" zoomScaleSheetLayoutView="100" workbookViewId="0">
      <pane xSplit="2" ySplit="3" topLeftCell="C4"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8.83203125" style="14"/>
    <col min="2" max="2" width="21.83203125" style="14" customWidth="1"/>
    <col min="3" max="14" width="0" style="14" hidden="1" customWidth="1"/>
    <col min="15" max="16384" width="8.83203125" style="14"/>
  </cols>
  <sheetData>
    <row r="1" spans="2:18" s="1909" customFormat="1" ht="24" x14ac:dyDescent="0.2">
      <c r="B1" s="2412" t="s">
        <v>725</v>
      </c>
      <c r="C1" s="2289"/>
      <c r="D1" s="2289"/>
      <c r="E1" s="2289"/>
      <c r="F1" s="2289"/>
      <c r="G1" s="2289"/>
      <c r="H1" s="2289"/>
      <c r="I1" s="2289"/>
      <c r="J1" s="2289"/>
      <c r="K1" s="2289"/>
      <c r="L1" s="2289"/>
      <c r="M1" s="2289"/>
      <c r="N1" s="2289"/>
      <c r="O1" s="2289"/>
      <c r="P1" s="2289"/>
      <c r="Q1" s="2289"/>
      <c r="R1" s="2289"/>
    </row>
    <row r="2" spans="2:18" ht="16" x14ac:dyDescent="0.2">
      <c r="B2" s="2530" t="s">
        <v>34</v>
      </c>
      <c r="C2" s="2530"/>
      <c r="D2" s="2530"/>
      <c r="E2" s="2530"/>
      <c r="F2" s="2530"/>
      <c r="G2" s="2530"/>
      <c r="H2" s="2530"/>
      <c r="I2" s="2530"/>
      <c r="J2" s="2530"/>
      <c r="K2" s="2530"/>
      <c r="L2" s="2530"/>
      <c r="M2" s="2530"/>
      <c r="N2" s="2530"/>
      <c r="O2" s="2530"/>
      <c r="P2" s="2530"/>
      <c r="Q2" s="2530"/>
      <c r="R2" s="2530"/>
    </row>
    <row r="3" spans="2:18" ht="16" x14ac:dyDescent="0.2">
      <c r="B3" s="18"/>
      <c r="C3" s="170">
        <v>2010</v>
      </c>
      <c r="D3" s="170">
        <v>2011</v>
      </c>
      <c r="E3" s="170">
        <v>2012</v>
      </c>
      <c r="F3" s="170">
        <v>2013</v>
      </c>
      <c r="G3" s="170">
        <v>2014</v>
      </c>
      <c r="H3" s="170">
        <v>2015</v>
      </c>
      <c r="I3" s="170">
        <v>2016</v>
      </c>
      <c r="J3" s="170">
        <v>2017</v>
      </c>
      <c r="K3" s="170">
        <v>2018</v>
      </c>
      <c r="L3" s="170">
        <v>2019</v>
      </c>
      <c r="M3" s="170">
        <v>2020</v>
      </c>
      <c r="N3" s="170">
        <v>2021</v>
      </c>
      <c r="O3" s="2337" t="s">
        <v>481</v>
      </c>
      <c r="P3" s="2337"/>
      <c r="Q3" s="2337"/>
      <c r="R3" s="1475" t="s">
        <v>519</v>
      </c>
    </row>
    <row r="4" spans="2:18" x14ac:dyDescent="0.2">
      <c r="B4" s="18"/>
      <c r="C4" s="18"/>
      <c r="D4" s="343"/>
      <c r="E4" s="2531" t="s">
        <v>481</v>
      </c>
      <c r="F4" s="2531"/>
      <c r="G4" s="2531"/>
      <c r="H4" s="2531"/>
      <c r="I4" s="2531"/>
      <c r="J4" s="2531"/>
      <c r="K4" s="2531"/>
      <c r="L4" s="2531"/>
      <c r="M4" s="2531"/>
      <c r="N4" s="2531"/>
      <c r="O4" s="170">
        <v>2022</v>
      </c>
      <c r="P4" s="170">
        <v>2023</v>
      </c>
      <c r="Q4" s="170">
        <v>2024</v>
      </c>
      <c r="R4" s="170">
        <v>2025</v>
      </c>
    </row>
    <row r="5" spans="2:18" x14ac:dyDescent="0.2">
      <c r="B5" s="18" t="s">
        <v>1001</v>
      </c>
      <c r="C5" s="112">
        <v>2026</v>
      </c>
      <c r="D5" s="112">
        <v>2374</v>
      </c>
      <c r="E5" s="112">
        <v>2051</v>
      </c>
      <c r="F5" s="112">
        <v>1635</v>
      </c>
      <c r="G5" s="112">
        <v>2550</v>
      </c>
      <c r="H5" s="878">
        <v>2000</v>
      </c>
      <c r="I5" s="878">
        <v>2000</v>
      </c>
      <c r="J5" s="82">
        <v>3000</v>
      </c>
      <c r="K5" s="82">
        <v>1500</v>
      </c>
      <c r="L5" s="82">
        <v>2000</v>
      </c>
      <c r="M5" s="82">
        <v>2000</v>
      </c>
      <c r="N5" s="82">
        <v>2300</v>
      </c>
      <c r="O5" s="82">
        <v>2000</v>
      </c>
      <c r="P5" s="82">
        <v>2000</v>
      </c>
      <c r="Q5" s="82">
        <v>2000</v>
      </c>
      <c r="R5" s="979">
        <v>2000</v>
      </c>
    </row>
    <row r="6" spans="2:18" x14ac:dyDescent="0.2">
      <c r="B6" s="18"/>
      <c r="C6" s="18"/>
      <c r="D6" s="343"/>
      <c r="E6" s="344"/>
      <c r="F6" s="344"/>
      <c r="G6" s="344"/>
      <c r="H6" s="344"/>
      <c r="I6" s="344"/>
      <c r="J6" s="344"/>
      <c r="K6" s="344"/>
      <c r="L6" s="344"/>
      <c r="M6" s="344"/>
      <c r="N6" s="344"/>
      <c r="O6" s="344"/>
      <c r="P6" s="82"/>
      <c r="Q6" s="82"/>
      <c r="R6" s="82"/>
    </row>
    <row r="7" spans="2:18" ht="16" thickBot="1" x14ac:dyDescent="0.25">
      <c r="B7" s="286" t="s">
        <v>421</v>
      </c>
      <c r="C7" s="480">
        <f t="shared" ref="C7:P7" si="0">SUM(C5:C6)</f>
        <v>2026</v>
      </c>
      <c r="D7" s="480">
        <f t="shared" si="0"/>
        <v>2374</v>
      </c>
      <c r="E7" s="480">
        <f t="shared" si="0"/>
        <v>2051</v>
      </c>
      <c r="F7" s="480">
        <f t="shared" si="0"/>
        <v>1635</v>
      </c>
      <c r="G7" s="480">
        <f t="shared" si="0"/>
        <v>2550</v>
      </c>
      <c r="H7" s="480">
        <f t="shared" si="0"/>
        <v>2000</v>
      </c>
      <c r="I7" s="480">
        <f t="shared" si="0"/>
        <v>2000</v>
      </c>
      <c r="J7" s="480">
        <f t="shared" si="0"/>
        <v>3000</v>
      </c>
      <c r="K7" s="480">
        <f t="shared" si="0"/>
        <v>1500</v>
      </c>
      <c r="L7" s="480">
        <f t="shared" si="0"/>
        <v>2000</v>
      </c>
      <c r="M7" s="480">
        <f t="shared" si="0"/>
        <v>2000</v>
      </c>
      <c r="N7" s="480">
        <f t="shared" si="0"/>
        <v>2300</v>
      </c>
      <c r="O7" s="1084">
        <f t="shared" si="0"/>
        <v>2000</v>
      </c>
      <c r="P7" s="1084">
        <f t="shared" si="0"/>
        <v>2000</v>
      </c>
      <c r="Q7" s="1084">
        <f>SUM(Q5:Q6)</f>
        <v>2000</v>
      </c>
      <c r="R7" s="821">
        <f>SUM(R5:R6)</f>
        <v>2000</v>
      </c>
    </row>
    <row r="8" spans="2:18" ht="16" thickTop="1" x14ac:dyDescent="0.2"/>
  </sheetData>
  <mergeCells count="4">
    <mergeCell ref="B1:R1"/>
    <mergeCell ref="B2:R2"/>
    <mergeCell ref="E4:N4"/>
    <mergeCell ref="O3:Q3"/>
  </mergeCells>
  <conditionalFormatting sqref="B1:B2 C3:O3 R3 O4:R4 C7:N7">
    <cfRule type="cellIs" dxfId="35" priority="9" operator="equal">
      <formula>0</formula>
    </cfRule>
  </conditionalFormatting>
  <conditionalFormatting sqref="C5:I5">
    <cfRule type="cellIs" dxfId="34" priority="1" operator="equal">
      <formula>0</formula>
    </cfRule>
  </conditionalFormatting>
  <hyperlinks>
    <hyperlink ref="B1" location="Summary!A1" display="Summary!A1" xr:uid="{40CEE299-20F5-4C86-842C-C472298DF58B}"/>
    <hyperlink ref="R7" location="Summary!T43" display="Summary!T43" xr:uid="{07C627C9-F075-41A4-A671-421E883FEF76}"/>
  </hyperlink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3EF8-C7A4-4676-9827-F7AED6574A36}">
  <sheetPr codeName="Sheet26">
    <tabColor rgb="FF00FF00"/>
  </sheetPr>
  <dimension ref="B1:K11"/>
  <sheetViews>
    <sheetView zoomScaleNormal="100" zoomScaleSheetLayoutView="100" workbookViewId="0">
      <pane xSplit="2" ySplit="4" topLeftCell="C5"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2.1640625" style="2" customWidth="1"/>
    <col min="2" max="2" width="38.5" style="2" bestFit="1" customWidth="1"/>
    <col min="3" max="5" width="8.83203125" style="2" hidden="1" customWidth="1"/>
    <col min="6" max="7" width="10.33203125" style="2" hidden="1" customWidth="1"/>
    <col min="8" max="9" width="10.33203125" style="2" bestFit="1" customWidth="1"/>
    <col min="10" max="10" width="10.33203125" style="2" customWidth="1"/>
    <col min="11" max="11" width="10.33203125" style="2" bestFit="1" customWidth="1"/>
    <col min="12" max="16384" width="8.83203125" style="2"/>
  </cols>
  <sheetData>
    <row r="1" spans="2:11" ht="24" x14ac:dyDescent="0.2">
      <c r="B1" s="2367" t="s">
        <v>725</v>
      </c>
      <c r="C1" s="2367"/>
      <c r="D1" s="2367"/>
      <c r="E1" s="2367"/>
      <c r="F1" s="2367"/>
      <c r="G1" s="2367"/>
      <c r="H1" s="2367"/>
      <c r="I1" s="2367"/>
      <c r="J1" s="2367"/>
      <c r="K1" s="2367"/>
    </row>
    <row r="2" spans="2:11" ht="16" x14ac:dyDescent="0.2">
      <c r="B2" s="2533" t="s">
        <v>900</v>
      </c>
      <c r="C2" s="2533"/>
      <c r="D2" s="2533"/>
      <c r="E2" s="2533"/>
      <c r="F2" s="2533"/>
      <c r="G2" s="2533"/>
      <c r="H2" s="2533"/>
      <c r="I2" s="2533"/>
      <c r="J2" s="2533"/>
      <c r="K2" s="2533"/>
    </row>
    <row r="3" spans="2:11" ht="16" x14ac:dyDescent="0.2">
      <c r="B3" s="823"/>
      <c r="C3" s="823" t="s">
        <v>520</v>
      </c>
      <c r="D3" s="823"/>
      <c r="E3" s="823"/>
      <c r="F3" s="823"/>
      <c r="G3" s="823"/>
      <c r="H3" s="2532" t="s">
        <v>481</v>
      </c>
      <c r="I3" s="2532"/>
      <c r="J3" s="2532"/>
      <c r="K3" s="1479" t="s">
        <v>519</v>
      </c>
    </row>
    <row r="4" spans="2:11" ht="16" x14ac:dyDescent="0.2">
      <c r="B4" s="584"/>
      <c r="C4" s="51">
        <v>2017</v>
      </c>
      <c r="D4" s="51">
        <v>2018</v>
      </c>
      <c r="E4" s="51">
        <v>2019</v>
      </c>
      <c r="F4" s="52">
        <v>2020</v>
      </c>
      <c r="G4" s="51">
        <v>2021</v>
      </c>
      <c r="H4" s="8">
        <v>2022</v>
      </c>
      <c r="I4" s="411">
        <v>2023</v>
      </c>
      <c r="J4" s="8">
        <v>2024</v>
      </c>
      <c r="K4" s="411">
        <v>2025</v>
      </c>
    </row>
    <row r="5" spans="2:11" x14ac:dyDescent="0.2">
      <c r="B5" s="73" t="s">
        <v>1002</v>
      </c>
      <c r="C5" s="51">
        <v>527</v>
      </c>
      <c r="D5" s="51"/>
      <c r="E5" s="51"/>
      <c r="F5" s="52"/>
      <c r="G5" s="51"/>
      <c r="H5" s="52"/>
      <c r="I5" s="51"/>
      <c r="J5" s="51"/>
      <c r="K5" s="51"/>
    </row>
    <row r="6" spans="2:11" x14ac:dyDescent="0.2">
      <c r="B6" s="73" t="s">
        <v>1003</v>
      </c>
      <c r="C6" s="879"/>
      <c r="D6" s="879"/>
      <c r="E6" s="879"/>
      <c r="F6" s="869"/>
      <c r="G6" s="879"/>
      <c r="H6" s="869"/>
      <c r="I6" s="879"/>
      <c r="J6" s="879"/>
      <c r="K6" s="879"/>
    </row>
    <row r="7" spans="2:11" ht="16" x14ac:dyDescent="0.2">
      <c r="B7" s="584"/>
      <c r="C7" s="879"/>
      <c r="D7" s="879"/>
      <c r="E7" s="879"/>
      <c r="F7" s="869"/>
      <c r="G7" s="879"/>
      <c r="H7" s="869"/>
      <c r="I7" s="879"/>
      <c r="J7" s="879"/>
      <c r="K7" s="879"/>
    </row>
    <row r="8" spans="2:11" ht="16" x14ac:dyDescent="0.2">
      <c r="B8" s="584"/>
      <c r="C8" s="879"/>
      <c r="D8" s="879"/>
      <c r="E8" s="879"/>
      <c r="F8" s="869"/>
      <c r="G8" s="879"/>
      <c r="H8" s="869"/>
      <c r="I8" s="879"/>
      <c r="J8" s="879"/>
      <c r="K8" s="879"/>
    </row>
    <row r="9" spans="2:11" ht="16" x14ac:dyDescent="0.2">
      <c r="B9" s="584"/>
      <c r="C9" s="879"/>
      <c r="D9" s="879"/>
      <c r="E9" s="879"/>
      <c r="F9" s="869"/>
      <c r="G9" s="879"/>
      <c r="H9" s="869"/>
      <c r="I9" s="879"/>
      <c r="J9" s="879"/>
      <c r="K9" s="987">
        <v>0</v>
      </c>
    </row>
    <row r="10" spans="2:11" ht="16" thickBot="1" x14ac:dyDescent="0.25">
      <c r="B10" s="24"/>
      <c r="C10" s="867">
        <f>SUM(C5:C9)</f>
        <v>527</v>
      </c>
      <c r="D10" s="867">
        <f t="shared" ref="D10:J10" si="0">SUM(D5:D9)</f>
        <v>0</v>
      </c>
      <c r="E10" s="867">
        <f t="shared" si="0"/>
        <v>0</v>
      </c>
      <c r="F10" s="867">
        <f t="shared" si="0"/>
        <v>0</v>
      </c>
      <c r="G10" s="867">
        <f t="shared" si="0"/>
        <v>0</v>
      </c>
      <c r="H10" s="867">
        <f t="shared" si="0"/>
        <v>0</v>
      </c>
      <c r="I10" s="1083">
        <f t="shared" si="0"/>
        <v>0</v>
      </c>
      <c r="J10" s="1083">
        <f t="shared" si="0"/>
        <v>0</v>
      </c>
      <c r="K10" s="972">
        <f>SUM(K5:K9)</f>
        <v>0</v>
      </c>
    </row>
    <row r="11" spans="2:11" ht="16" thickTop="1" x14ac:dyDescent="0.2"/>
  </sheetData>
  <mergeCells count="3">
    <mergeCell ref="H3:J3"/>
    <mergeCell ref="B1:K1"/>
    <mergeCell ref="B2:K2"/>
  </mergeCells>
  <conditionalFormatting sqref="B1:B2">
    <cfRule type="cellIs" dxfId="33" priority="8" operator="equal">
      <formula>0</formula>
    </cfRule>
  </conditionalFormatting>
  <hyperlinks>
    <hyperlink ref="B1" location="Summary!A1" display="Summary!A1" xr:uid="{0394A948-75BF-41A3-A991-681715240731}"/>
    <hyperlink ref="K10" location="Summary!T44" display="Summary!T44" xr:uid="{0C1E9C47-696C-489B-A620-ED750DC26623}"/>
  </hyperlink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00FF00"/>
  </sheetPr>
  <dimension ref="A1:D25"/>
  <sheetViews>
    <sheetView zoomScaleNormal="100" zoomScaleSheetLayoutView="100" workbookViewId="0">
      <pane xSplit="2" ySplit="4" topLeftCell="C5"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3.5" style="2" customWidth="1"/>
    <col min="2" max="2" width="16.1640625" style="274" customWidth="1"/>
    <col min="3" max="3" width="18.1640625" style="2076" customWidth="1"/>
    <col min="4" max="4" width="18.1640625" style="1927" customWidth="1"/>
    <col min="5" max="16384" width="8.83203125" style="2"/>
  </cols>
  <sheetData>
    <row r="1" spans="1:4" s="1683" customFormat="1" ht="24" x14ac:dyDescent="0.2">
      <c r="A1" s="1912"/>
      <c r="B1" s="2289" t="s">
        <v>725</v>
      </c>
      <c r="C1" s="2289"/>
      <c r="D1" s="2289"/>
    </row>
    <row r="2" spans="1:4" ht="16" x14ac:dyDescent="0.2">
      <c r="B2" s="2413" t="s">
        <v>524</v>
      </c>
      <c r="C2" s="2413"/>
      <c r="D2" s="2413"/>
    </row>
    <row r="3" spans="1:4" ht="16" x14ac:dyDescent="0.2">
      <c r="B3" s="287"/>
      <c r="C3" s="1481" t="s">
        <v>520</v>
      </c>
      <c r="D3" s="1480" t="s">
        <v>521</v>
      </c>
    </row>
    <row r="4" spans="1:4" x14ac:dyDescent="0.2">
      <c r="B4" s="52"/>
      <c r="C4" s="810"/>
      <c r="D4" s="288"/>
    </row>
    <row r="5" spans="1:4" x14ac:dyDescent="0.2">
      <c r="B5" s="52">
        <v>2010</v>
      </c>
      <c r="C5" s="705">
        <v>-577</v>
      </c>
      <c r="D5" s="934"/>
    </row>
    <row r="6" spans="1:4" x14ac:dyDescent="0.2">
      <c r="B6" s="52">
        <v>2011</v>
      </c>
      <c r="C6" s="705">
        <v>-597</v>
      </c>
      <c r="D6" s="934"/>
    </row>
    <row r="7" spans="1:4" x14ac:dyDescent="0.2">
      <c r="B7" s="52">
        <v>2012</v>
      </c>
      <c r="C7" s="705">
        <v>-618</v>
      </c>
      <c r="D7" s="934"/>
    </row>
    <row r="8" spans="1:4" x14ac:dyDescent="0.2">
      <c r="B8" s="52">
        <v>2013</v>
      </c>
      <c r="C8" s="705">
        <v>-640</v>
      </c>
      <c r="D8" s="934"/>
    </row>
    <row r="9" spans="1:4" x14ac:dyDescent="0.2">
      <c r="B9" s="52">
        <v>2014</v>
      </c>
      <c r="C9" s="705">
        <v>-1229</v>
      </c>
      <c r="D9" s="934"/>
    </row>
    <row r="10" spans="1:4" x14ac:dyDescent="0.2">
      <c r="B10" s="52">
        <v>2015</v>
      </c>
      <c r="C10" s="705">
        <v>-734</v>
      </c>
      <c r="D10" s="934"/>
    </row>
    <row r="11" spans="1:4" x14ac:dyDescent="0.2">
      <c r="B11" s="52">
        <v>2016</v>
      </c>
      <c r="C11" s="705">
        <v>-703</v>
      </c>
      <c r="D11" s="934"/>
    </row>
    <row r="12" spans="1:4" x14ac:dyDescent="0.2">
      <c r="B12" s="52">
        <v>2017</v>
      </c>
      <c r="C12" s="705">
        <v>-740</v>
      </c>
      <c r="D12" s="705"/>
    </row>
    <row r="13" spans="1:4" x14ac:dyDescent="0.2">
      <c r="B13" s="52">
        <v>2018</v>
      </c>
      <c r="C13" s="705">
        <v>-740</v>
      </c>
      <c r="D13" s="705"/>
    </row>
    <row r="14" spans="1:4" x14ac:dyDescent="0.2">
      <c r="B14" s="52">
        <v>2019</v>
      </c>
      <c r="C14" s="705">
        <v>-800</v>
      </c>
      <c r="D14" s="705"/>
    </row>
    <row r="15" spans="1:4" x14ac:dyDescent="0.2">
      <c r="B15" s="52">
        <v>2020</v>
      </c>
      <c r="C15" s="705">
        <v>-774</v>
      </c>
      <c r="D15" s="705"/>
    </row>
    <row r="16" spans="1:4" x14ac:dyDescent="0.2">
      <c r="B16" s="52">
        <v>2021</v>
      </c>
      <c r="C16" s="705">
        <v>-833</v>
      </c>
      <c r="D16" s="705"/>
    </row>
    <row r="17" spans="2:4" x14ac:dyDescent="0.2">
      <c r="B17" s="52">
        <v>2022</v>
      </c>
      <c r="C17" s="705">
        <v>-859</v>
      </c>
      <c r="D17" s="705"/>
    </row>
    <row r="18" spans="2:4" x14ac:dyDescent="0.2">
      <c r="B18" s="52">
        <v>2023</v>
      </c>
      <c r="C18" s="705">
        <v>-850</v>
      </c>
      <c r="D18" s="705"/>
    </row>
    <row r="19" spans="2:4" x14ac:dyDescent="0.2">
      <c r="B19" s="52">
        <v>2024</v>
      </c>
      <c r="C19" s="705">
        <v>-856.48</v>
      </c>
      <c r="D19" s="705"/>
    </row>
    <row r="20" spans="2:4" x14ac:dyDescent="0.2">
      <c r="B20" s="52">
        <v>2025</v>
      </c>
      <c r="C20" s="705"/>
      <c r="D20" s="1151">
        <v>-860</v>
      </c>
    </row>
    <row r="21" spans="2:4" x14ac:dyDescent="0.2">
      <c r="B21" s="52">
        <v>2026</v>
      </c>
      <c r="C21" s="705"/>
      <c r="D21" s="705"/>
    </row>
    <row r="22" spans="2:4" x14ac:dyDescent="0.2">
      <c r="B22" s="52">
        <v>2027</v>
      </c>
      <c r="C22" s="705"/>
      <c r="D22" s="705"/>
    </row>
    <row r="23" spans="2:4" x14ac:dyDescent="0.2">
      <c r="B23" s="52">
        <v>2028</v>
      </c>
      <c r="C23" s="705"/>
      <c r="D23" s="705"/>
    </row>
    <row r="24" spans="2:4" ht="16" thickBot="1" x14ac:dyDescent="0.25">
      <c r="B24" s="25"/>
      <c r="C24" s="1595"/>
      <c r="D24" s="971">
        <f>SUM(D5:D23)</f>
        <v>-860</v>
      </c>
    </row>
    <row r="25" spans="2:4" ht="16" thickTop="1" x14ac:dyDescent="0.2"/>
  </sheetData>
  <mergeCells count="2">
    <mergeCell ref="B2:D2"/>
    <mergeCell ref="B1:D1"/>
  </mergeCells>
  <conditionalFormatting sqref="A1:B1">
    <cfRule type="cellIs" dxfId="32" priority="1" operator="equal">
      <formula>0</formula>
    </cfRule>
  </conditionalFormatting>
  <hyperlinks>
    <hyperlink ref="B1" location="Summary!A1" display="Summary!A1" xr:uid="{FF9C6AA1-F370-42BA-AFB1-ADCB9F42A026}"/>
    <hyperlink ref="D24" location="Summary!T47" display="Summary!T47" xr:uid="{7B66FF29-A92C-475A-8F87-569C36195C8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N53"/>
  <sheetViews>
    <sheetView view="pageBreakPreview" zoomScaleNormal="100" zoomScaleSheetLayoutView="100" workbookViewId="0">
      <selection activeCell="O10" sqref="O10"/>
    </sheetView>
  </sheetViews>
  <sheetFormatPr baseColWidth="10" defaultColWidth="8.83203125" defaultRowHeight="15" x14ac:dyDescent="0.2"/>
  <cols>
    <col min="1" max="1" width="8.83203125" style="2"/>
    <col min="2" max="2" width="27" style="2" customWidth="1"/>
    <col min="3" max="3" width="14.83203125" style="2" customWidth="1"/>
    <col min="4" max="4" width="32.1640625" style="2" hidden="1" customWidth="1"/>
    <col min="5" max="5" width="7.1640625" style="2" bestFit="1" customWidth="1"/>
    <col min="6" max="8" width="8.5" style="2" customWidth="1"/>
    <col min="9" max="9" width="9.33203125" style="2" hidden="1" customWidth="1"/>
    <col min="10" max="10" width="2.33203125" style="2" hidden="1" customWidth="1"/>
    <col min="11" max="11" width="25.5" style="2" customWidth="1"/>
    <col min="12" max="16384" width="8.83203125" style="2"/>
  </cols>
  <sheetData>
    <row r="1" spans="2:13" x14ac:dyDescent="0.2">
      <c r="D1" s="2" t="s">
        <v>70</v>
      </c>
      <c r="J1" s="2" t="s">
        <v>70</v>
      </c>
    </row>
    <row r="3" spans="2:13" ht="19" x14ac:dyDescent="0.2">
      <c r="B3" s="2206" t="s">
        <v>491</v>
      </c>
      <c r="C3" s="2206"/>
      <c r="D3" s="2206"/>
      <c r="E3" s="2206"/>
      <c r="F3" s="2206"/>
      <c r="G3" s="2206"/>
      <c r="H3" s="2206"/>
      <c r="I3" s="2206"/>
      <c r="J3" s="2206"/>
      <c r="K3" s="2206"/>
      <c r="M3" s="14"/>
    </row>
    <row r="4" spans="2:13" ht="28.25" customHeight="1" x14ac:dyDescent="0.2">
      <c r="B4" s="57"/>
      <c r="C4" s="81"/>
      <c r="D4" s="171"/>
      <c r="E4" s="2213" t="s">
        <v>482</v>
      </c>
      <c r="F4" s="2214"/>
      <c r="G4" s="2213" t="s">
        <v>483</v>
      </c>
      <c r="H4" s="2215"/>
      <c r="I4" s="176" t="s">
        <v>423</v>
      </c>
      <c r="J4" s="59"/>
      <c r="K4" s="56" t="s">
        <v>470</v>
      </c>
    </row>
    <row r="5" spans="2:13" x14ac:dyDescent="0.2">
      <c r="B5" s="2216" t="s">
        <v>424</v>
      </c>
      <c r="C5" s="2217"/>
      <c r="D5" s="2217"/>
      <c r="E5" s="2217"/>
      <c r="F5" s="2217"/>
      <c r="G5" s="2217"/>
      <c r="H5" s="2217"/>
      <c r="I5" s="2217"/>
      <c r="J5" s="2217"/>
      <c r="K5" s="2218"/>
    </row>
    <row r="6" spans="2:13" x14ac:dyDescent="0.2">
      <c r="B6" s="203" t="s">
        <v>2</v>
      </c>
      <c r="C6" s="204"/>
      <c r="D6" s="270"/>
      <c r="E6" s="271"/>
      <c r="F6" s="2210">
        <v>8601</v>
      </c>
      <c r="G6" s="226"/>
      <c r="H6" s="2210" t="e">
        <f>+Summary!#REF!</f>
        <v>#REF!</v>
      </c>
      <c r="I6" s="202" t="e">
        <f>+H6-F6</f>
        <v>#REF!</v>
      </c>
      <c r="J6" s="151"/>
      <c r="K6" s="2219" t="s">
        <v>514</v>
      </c>
      <c r="M6" s="43"/>
    </row>
    <row r="7" spans="2:13" x14ac:dyDescent="0.2">
      <c r="B7" s="272"/>
      <c r="C7" s="273"/>
      <c r="D7" s="199"/>
      <c r="E7" s="200"/>
      <c r="F7" s="2212"/>
      <c r="G7" s="215"/>
      <c r="H7" s="2212"/>
      <c r="I7" s="225"/>
      <c r="J7" s="151"/>
      <c r="K7" s="2220"/>
      <c r="M7" s="43"/>
    </row>
    <row r="8" spans="2:13" ht="48" x14ac:dyDescent="0.2">
      <c r="B8" s="203" t="s">
        <v>3</v>
      </c>
      <c r="C8" s="204"/>
      <c r="D8" s="199"/>
      <c r="E8" s="205">
        <v>-7235</v>
      </c>
      <c r="F8" s="2207">
        <f>SUM(E8:E10)</f>
        <v>-5182</v>
      </c>
      <c r="G8" s="226" t="e">
        <f>+Summary!#REF!</f>
        <v>#REF!</v>
      </c>
      <c r="H8" s="2210" t="e">
        <f>SUM(G8:G10)</f>
        <v>#REF!</v>
      </c>
      <c r="I8" s="2226" t="e">
        <f>-F8+H8-F10+H10</f>
        <v>#REF!</v>
      </c>
      <c r="J8" s="151"/>
      <c r="K8" s="206" t="s">
        <v>480</v>
      </c>
    </row>
    <row r="9" spans="2:13" x14ac:dyDescent="0.2">
      <c r="B9" s="207"/>
      <c r="C9" s="208"/>
      <c r="D9" s="199"/>
      <c r="E9" s="209"/>
      <c r="F9" s="2208"/>
      <c r="G9" s="215"/>
      <c r="H9" s="2211"/>
      <c r="I9" s="2227"/>
      <c r="J9" s="151"/>
      <c r="K9" s="210" t="s">
        <v>431</v>
      </c>
    </row>
    <row r="10" spans="2:13" x14ac:dyDescent="0.2">
      <c r="B10" s="211" t="s">
        <v>427</v>
      </c>
      <c r="C10" s="212"/>
      <c r="D10" s="199"/>
      <c r="E10" s="213">
        <v>2053</v>
      </c>
      <c r="F10" s="2209"/>
      <c r="G10" s="213">
        <v>5688</v>
      </c>
      <c r="H10" s="2212"/>
      <c r="I10" s="2228"/>
      <c r="J10" s="151"/>
      <c r="K10" s="210" t="s">
        <v>510</v>
      </c>
      <c r="M10" s="43"/>
    </row>
    <row r="11" spans="2:13" s="248" customFormat="1" x14ac:dyDescent="0.2">
      <c r="B11" s="239" t="s">
        <v>25</v>
      </c>
      <c r="C11" s="240"/>
      <c r="D11" s="239" t="s">
        <v>428</v>
      </c>
      <c r="E11" s="241"/>
      <c r="F11" s="242">
        <f>SUM(F6:F10)</f>
        <v>3419</v>
      </c>
      <c r="G11" s="243"/>
      <c r="H11" s="244" t="e">
        <f>SUM(H6:H10)</f>
        <v>#REF!</v>
      </c>
      <c r="I11" s="245" t="e">
        <f>SUM(I6:I10)</f>
        <v>#REF!</v>
      </c>
      <c r="J11" s="246"/>
      <c r="K11" s="269" t="s">
        <v>513</v>
      </c>
      <c r="M11" s="249"/>
    </row>
    <row r="12" spans="2:13" x14ac:dyDescent="0.2">
      <c r="B12" s="161"/>
      <c r="C12" s="191"/>
      <c r="D12" s="162"/>
      <c r="E12" s="172"/>
      <c r="F12" s="162"/>
      <c r="G12" s="172"/>
      <c r="H12" s="178"/>
      <c r="I12" s="162"/>
      <c r="J12" s="162"/>
      <c r="K12" s="164"/>
    </row>
    <row r="13" spans="2:13" x14ac:dyDescent="0.2">
      <c r="B13" s="2216" t="s">
        <v>26</v>
      </c>
      <c r="C13" s="2217"/>
      <c r="D13" s="2217"/>
      <c r="E13" s="2217"/>
      <c r="F13" s="2217"/>
      <c r="G13" s="2217"/>
      <c r="H13" s="2217"/>
      <c r="I13" s="2217"/>
      <c r="J13" s="2217"/>
      <c r="K13" s="2218"/>
    </row>
    <row r="14" spans="2:13" ht="24.5" customHeight="1" x14ac:dyDescent="0.2">
      <c r="B14" s="197" t="s">
        <v>2</v>
      </c>
      <c r="C14" s="198"/>
      <c r="D14" s="199"/>
      <c r="E14" s="222"/>
      <c r="F14" s="214">
        <v>6774</v>
      </c>
      <c r="G14" s="201"/>
      <c r="H14" s="216">
        <v>5241</v>
      </c>
      <c r="I14" s="202">
        <f>+H14-F14</f>
        <v>-1533</v>
      </c>
      <c r="J14" s="199"/>
      <c r="K14" s="2234" t="s">
        <v>511</v>
      </c>
      <c r="M14" s="43"/>
    </row>
    <row r="15" spans="2:13" ht="15.5" customHeight="1" x14ac:dyDescent="0.2">
      <c r="B15" s="197"/>
      <c r="C15" s="198"/>
      <c r="D15" s="199"/>
      <c r="E15" s="222"/>
      <c r="F15" s="223"/>
      <c r="G15" s="215"/>
      <c r="H15" s="224"/>
      <c r="I15" s="225"/>
      <c r="J15" s="199"/>
      <c r="K15" s="2238"/>
      <c r="M15" s="43"/>
    </row>
    <row r="16" spans="2:13" x14ac:dyDescent="0.2">
      <c r="B16" s="203" t="s">
        <v>35</v>
      </c>
      <c r="C16" s="204"/>
      <c r="D16" s="199"/>
      <c r="E16" s="271"/>
      <c r="F16" s="2210">
        <v>-3470</v>
      </c>
      <c r="G16" s="226"/>
      <c r="H16" s="2210">
        <f>+Summary!V65</f>
        <v>0</v>
      </c>
      <c r="I16" s="227">
        <f>+H16-F16</f>
        <v>3470</v>
      </c>
      <c r="J16" s="199"/>
      <c r="K16" s="2234" t="s">
        <v>515</v>
      </c>
      <c r="L16" s="43"/>
      <c r="M16" s="43"/>
    </row>
    <row r="17" spans="2:14" x14ac:dyDescent="0.2">
      <c r="B17" s="207"/>
      <c r="C17" s="208"/>
      <c r="D17" s="275"/>
      <c r="E17" s="276"/>
      <c r="F17" s="2212"/>
      <c r="G17" s="201"/>
      <c r="H17" s="2212"/>
      <c r="I17" s="227"/>
      <c r="J17" s="199"/>
      <c r="K17" s="2235"/>
      <c r="L17" s="43"/>
    </row>
    <row r="18" spans="2:14" s="248" customFormat="1" x14ac:dyDescent="0.2">
      <c r="B18" s="239" t="s">
        <v>52</v>
      </c>
      <c r="C18" s="240"/>
      <c r="D18" s="239" t="s">
        <v>429</v>
      </c>
      <c r="E18" s="241"/>
      <c r="F18" s="242">
        <f>SUM(F14:F16)</f>
        <v>3304</v>
      </c>
      <c r="G18" s="243"/>
      <c r="H18" s="244">
        <f>SUM(H14:H16)</f>
        <v>5241</v>
      </c>
      <c r="I18" s="245">
        <f>SUM(I14:I16)</f>
        <v>1937</v>
      </c>
      <c r="J18" s="250"/>
      <c r="K18" s="247"/>
      <c r="L18" s="249"/>
    </row>
    <row r="19" spans="2:14" x14ac:dyDescent="0.2">
      <c r="B19" s="161"/>
      <c r="C19" s="191"/>
      <c r="D19" s="163"/>
      <c r="E19" s="173"/>
      <c r="F19" s="162"/>
      <c r="G19" s="172"/>
      <c r="H19" s="178"/>
      <c r="I19" s="162"/>
      <c r="J19" s="163"/>
      <c r="K19" s="164"/>
      <c r="M19" s="43"/>
    </row>
    <row r="20" spans="2:14" x14ac:dyDescent="0.2">
      <c r="B20" s="2216" t="s">
        <v>420</v>
      </c>
      <c r="C20" s="2217"/>
      <c r="D20" s="2217"/>
      <c r="E20" s="2217"/>
      <c r="F20" s="2217"/>
      <c r="G20" s="2217"/>
      <c r="H20" s="2217"/>
      <c r="I20" s="2217"/>
      <c r="J20" s="2217"/>
      <c r="K20" s="2218"/>
    </row>
    <row r="21" spans="2:14" x14ac:dyDescent="0.2">
      <c r="B21" s="217" t="s">
        <v>55</v>
      </c>
      <c r="C21" s="218"/>
      <c r="D21" s="160" t="s">
        <v>55</v>
      </c>
      <c r="E21" s="229"/>
      <c r="F21" s="214">
        <v>129</v>
      </c>
      <c r="G21" s="201"/>
      <c r="H21" s="216">
        <v>100</v>
      </c>
      <c r="I21" s="230">
        <f>+H21-F21</f>
        <v>-29</v>
      </c>
      <c r="J21" s="151"/>
      <c r="K21" s="231"/>
    </row>
    <row r="22" spans="2:14" x14ac:dyDescent="0.2">
      <c r="B22" s="193"/>
      <c r="C22" s="191"/>
      <c r="D22" s="152"/>
      <c r="E22" s="174"/>
      <c r="F22" s="165"/>
      <c r="G22" s="179"/>
      <c r="H22" s="180"/>
      <c r="I22" s="166"/>
      <c r="J22" s="152"/>
      <c r="K22" s="167"/>
    </row>
    <row r="23" spans="2:14" s="248" customFormat="1" ht="29.5" customHeight="1" x14ac:dyDescent="0.2">
      <c r="B23" s="251" t="s">
        <v>488</v>
      </c>
      <c r="C23" s="252"/>
      <c r="D23" s="253" t="s">
        <v>425</v>
      </c>
      <c r="E23" s="254"/>
      <c r="F23" s="255">
        <f>+F21+F18+F11</f>
        <v>6852</v>
      </c>
      <c r="G23" s="256"/>
      <c r="H23" s="257" t="e">
        <f>+H21+H18+H11</f>
        <v>#REF!</v>
      </c>
      <c r="I23" s="258" t="e">
        <f>+I21+I18+I11</f>
        <v>#REF!</v>
      </c>
      <c r="J23" s="259"/>
      <c r="K23" s="260"/>
    </row>
    <row r="24" spans="2:14" x14ac:dyDescent="0.2">
      <c r="B24" s="160"/>
      <c r="C24" s="192"/>
      <c r="D24" s="168"/>
      <c r="E24" s="181"/>
      <c r="F24" s="168"/>
      <c r="G24" s="181"/>
      <c r="H24" s="182"/>
      <c r="I24" s="168"/>
      <c r="J24" s="168"/>
      <c r="K24" s="169"/>
    </row>
    <row r="25" spans="2:14" x14ac:dyDescent="0.2">
      <c r="B25" s="2223" t="s">
        <v>56</v>
      </c>
      <c r="C25" s="2224"/>
      <c r="D25" s="2224"/>
      <c r="E25" s="2224"/>
      <c r="F25" s="2224"/>
      <c r="G25" s="2224"/>
      <c r="H25" s="2224"/>
      <c r="I25" s="2224"/>
      <c r="J25" s="2224"/>
      <c r="K25" s="2225"/>
    </row>
    <row r="26" spans="2:14" x14ac:dyDescent="0.2">
      <c r="B26" s="232" t="s">
        <v>413</v>
      </c>
      <c r="C26" s="233"/>
      <c r="D26" s="232" t="s">
        <v>413</v>
      </c>
      <c r="E26" s="234"/>
      <c r="F26" s="219">
        <v>-1684</v>
      </c>
      <c r="G26" s="220"/>
      <c r="H26" s="221" t="e">
        <f>+'51 Depreciation'!#REF!</f>
        <v>#REF!</v>
      </c>
      <c r="I26" s="190" t="e">
        <f>+H26-F26</f>
        <v>#REF!</v>
      </c>
      <c r="J26" s="184"/>
      <c r="K26" s="122" t="s">
        <v>479</v>
      </c>
      <c r="L26" s="43"/>
    </row>
    <row r="27" spans="2:14" x14ac:dyDescent="0.2">
      <c r="B27" s="131"/>
      <c r="D27" s="152"/>
      <c r="E27" s="174"/>
      <c r="F27" s="152"/>
      <c r="G27" s="174"/>
      <c r="H27" s="183"/>
      <c r="I27" s="152"/>
      <c r="J27" s="152"/>
      <c r="K27" s="122" t="s">
        <v>430</v>
      </c>
      <c r="M27" s="43"/>
    </row>
    <row r="28" spans="2:14" x14ac:dyDescent="0.2">
      <c r="B28" s="131"/>
      <c r="D28" s="152"/>
      <c r="E28" s="174"/>
      <c r="F28" s="152"/>
      <c r="G28" s="174"/>
      <c r="H28" s="183"/>
      <c r="I28" s="152"/>
      <c r="J28" s="152"/>
      <c r="K28" s="228" t="s">
        <v>512</v>
      </c>
    </row>
    <row r="29" spans="2:14" x14ac:dyDescent="0.2">
      <c r="B29" s="57"/>
      <c r="C29" s="81"/>
      <c r="D29" s="57"/>
      <c r="E29" s="175"/>
      <c r="F29" s="277">
        <v>2016</v>
      </c>
      <c r="G29" s="278"/>
      <c r="H29" s="279">
        <v>2017</v>
      </c>
      <c r="I29" s="177" t="s">
        <v>423</v>
      </c>
      <c r="J29" s="152"/>
      <c r="K29" s="122"/>
      <c r="N29" s="43"/>
    </row>
    <row r="30" spans="2:14" s="248" customFormat="1" ht="20.5" customHeight="1" thickBot="1" x14ac:dyDescent="0.25">
      <c r="B30" s="261" t="s">
        <v>490</v>
      </c>
      <c r="C30" s="262"/>
      <c r="D30" s="261" t="s">
        <v>426</v>
      </c>
      <c r="E30" s="263"/>
      <c r="F30" s="264">
        <f>+F26+F23</f>
        <v>5168</v>
      </c>
      <c r="G30" s="263"/>
      <c r="H30" s="265" t="e">
        <f>+H26+H23</f>
        <v>#REF!</v>
      </c>
      <c r="I30" s="266" t="e">
        <f>+I26+I23</f>
        <v>#REF!</v>
      </c>
      <c r="J30" s="267"/>
      <c r="K30" s="268"/>
    </row>
    <row r="31" spans="2:14" ht="20.5" customHeight="1" thickTop="1" x14ac:dyDescent="0.2"/>
    <row r="32" spans="2:14" ht="17.5" customHeight="1" x14ac:dyDescent="0.2">
      <c r="C32" s="2222" t="s">
        <v>505</v>
      </c>
      <c r="D32" s="2222"/>
      <c r="E32" s="2222"/>
      <c r="F32" s="2222"/>
      <c r="G32" s="2222"/>
      <c r="H32" s="2222"/>
      <c r="I32" s="282"/>
      <c r="J32" s="282"/>
      <c r="K32" s="282"/>
    </row>
    <row r="33" spans="2:11" x14ac:dyDescent="0.2">
      <c r="B33" s="2231" t="s">
        <v>156</v>
      </c>
      <c r="C33" s="2236"/>
      <c r="D33" s="2236"/>
      <c r="E33" s="2236"/>
      <c r="F33" s="281">
        <v>5168</v>
      </c>
      <c r="H33" s="2237" t="s">
        <v>516</v>
      </c>
      <c r="I33" s="2237"/>
      <c r="J33" s="2237"/>
      <c r="K33" s="2237"/>
    </row>
    <row r="34" spans="2:11" x14ac:dyDescent="0.2">
      <c r="B34" s="2231" t="s">
        <v>503</v>
      </c>
      <c r="C34" s="2232"/>
      <c r="D34" s="2232"/>
      <c r="E34" s="2232"/>
      <c r="F34" s="2233"/>
      <c r="J34" s="274"/>
    </row>
    <row r="35" spans="2:11" x14ac:dyDescent="0.2">
      <c r="B35" s="57" t="s">
        <v>492</v>
      </c>
      <c r="C35" s="188"/>
      <c r="D35" s="188"/>
      <c r="E35" s="195"/>
      <c r="F35" s="185">
        <v>-165</v>
      </c>
      <c r="H35" s="115">
        <v>2568</v>
      </c>
      <c r="I35" s="51"/>
      <c r="J35" s="12"/>
      <c r="K35" s="12" t="s">
        <v>361</v>
      </c>
    </row>
    <row r="36" spans="2:11" x14ac:dyDescent="0.2">
      <c r="B36" s="57" t="s">
        <v>493</v>
      </c>
      <c r="C36" s="188"/>
      <c r="D36" s="188"/>
      <c r="E36" s="195"/>
      <c r="F36" s="185">
        <v>-500</v>
      </c>
      <c r="H36" s="115">
        <v>1200</v>
      </c>
      <c r="I36" s="51"/>
      <c r="J36" s="12"/>
      <c r="K36" s="12" t="s">
        <v>419</v>
      </c>
    </row>
    <row r="37" spans="2:11" x14ac:dyDescent="0.2">
      <c r="B37" s="57" t="s">
        <v>494</v>
      </c>
      <c r="C37" s="188"/>
      <c r="D37" s="188"/>
      <c r="E37" s="195"/>
      <c r="F37" s="185">
        <v>-350</v>
      </c>
      <c r="H37" s="115">
        <v>1920</v>
      </c>
      <c r="I37" s="51"/>
      <c r="J37" s="12"/>
      <c r="K37" s="12" t="s">
        <v>422</v>
      </c>
    </row>
    <row r="38" spans="2:11" ht="16" thickBot="1" x14ac:dyDescent="0.25">
      <c r="B38" s="57" t="s">
        <v>495</v>
      </c>
      <c r="C38" s="188"/>
      <c r="D38" s="188"/>
      <c r="E38" s="195"/>
      <c r="F38" s="185">
        <v>-500</v>
      </c>
      <c r="H38" s="283">
        <f>SUM(H35:H37)</f>
        <v>5688</v>
      </c>
      <c r="I38" s="284"/>
      <c r="J38" s="285"/>
      <c r="K38" s="285" t="s">
        <v>421</v>
      </c>
    </row>
    <row r="39" spans="2:11" ht="16" thickTop="1" x14ac:dyDescent="0.2">
      <c r="B39" s="57" t="s">
        <v>496</v>
      </c>
      <c r="C39" s="188"/>
      <c r="D39" s="188"/>
      <c r="E39" s="195"/>
      <c r="F39" s="185">
        <v>-2246</v>
      </c>
      <c r="I39" s="274"/>
    </row>
    <row r="40" spans="2:11" x14ac:dyDescent="0.2">
      <c r="B40" s="57" t="s">
        <v>497</v>
      </c>
      <c r="C40" s="188"/>
      <c r="D40" s="188"/>
      <c r="E40" s="195"/>
      <c r="F40" s="185">
        <v>1000</v>
      </c>
      <c r="I40" s="274"/>
    </row>
    <row r="41" spans="2:11" x14ac:dyDescent="0.2">
      <c r="B41" s="57" t="s">
        <v>498</v>
      </c>
      <c r="C41" s="188"/>
      <c r="D41" s="188"/>
      <c r="E41" s="195"/>
      <c r="F41" s="185">
        <v>-760</v>
      </c>
      <c r="I41" s="274"/>
    </row>
    <row r="42" spans="2:11" x14ac:dyDescent="0.2">
      <c r="B42" s="57" t="s">
        <v>304</v>
      </c>
      <c r="C42" s="188"/>
      <c r="D42" s="188"/>
      <c r="E42" s="195"/>
      <c r="F42" s="185">
        <v>-262</v>
      </c>
      <c r="I42" s="274"/>
    </row>
    <row r="43" spans="2:11" x14ac:dyDescent="0.2">
      <c r="B43" s="235" t="s">
        <v>499</v>
      </c>
      <c r="C43" s="188"/>
      <c r="D43" s="188"/>
      <c r="E43" s="190"/>
      <c r="F43" s="186">
        <f>SUM(G33:G42)</f>
        <v>0</v>
      </c>
      <c r="I43" s="274"/>
    </row>
    <row r="44" spans="2:11" x14ac:dyDescent="0.2">
      <c r="B44" s="2229" t="s">
        <v>506</v>
      </c>
      <c r="C44" s="2230"/>
      <c r="D44" s="2230"/>
      <c r="E44" s="2230"/>
      <c r="F44" s="166"/>
      <c r="I44" s="274"/>
    </row>
    <row r="45" spans="2:11" x14ac:dyDescent="0.2">
      <c r="B45" s="57" t="s">
        <v>500</v>
      </c>
      <c r="C45" s="188"/>
      <c r="D45" s="188"/>
      <c r="E45" s="195">
        <v>-257</v>
      </c>
      <c r="F45" s="2221">
        <f>+E45+E46+E47</f>
        <v>-689</v>
      </c>
      <c r="I45" s="274"/>
    </row>
    <row r="46" spans="2:11" x14ac:dyDescent="0.2">
      <c r="B46" s="57" t="s">
        <v>501</v>
      </c>
      <c r="C46" s="188"/>
      <c r="D46" s="188"/>
      <c r="E46" s="195">
        <v>-240</v>
      </c>
      <c r="F46" s="2221"/>
      <c r="I46" s="274"/>
    </row>
    <row r="47" spans="2:11" x14ac:dyDescent="0.2">
      <c r="B47" s="57" t="s">
        <v>502</v>
      </c>
      <c r="C47" s="188"/>
      <c r="D47" s="188"/>
      <c r="E47" s="195">
        <v>-192</v>
      </c>
      <c r="F47" s="2221"/>
      <c r="I47" s="274"/>
    </row>
    <row r="48" spans="2:11" ht="16" thickBot="1" x14ac:dyDescent="0.25">
      <c r="B48" s="236" t="s">
        <v>504</v>
      </c>
      <c r="C48" s="189"/>
      <c r="D48" s="189"/>
      <c r="E48" s="196"/>
      <c r="F48" s="187">
        <f>SUM(G43:G47)</f>
        <v>0</v>
      </c>
      <c r="I48" s="274"/>
    </row>
    <row r="49" spans="2:9" ht="16" thickTop="1" x14ac:dyDescent="0.2">
      <c r="B49" s="194" t="s">
        <v>507</v>
      </c>
    </row>
    <row r="50" spans="2:9" x14ac:dyDescent="0.2">
      <c r="B50" s="2" t="s">
        <v>508</v>
      </c>
      <c r="F50" s="237">
        <v>-2246</v>
      </c>
      <c r="I50" s="14"/>
    </row>
    <row r="51" spans="2:9" x14ac:dyDescent="0.2">
      <c r="B51" s="2" t="s">
        <v>509</v>
      </c>
      <c r="F51" s="237">
        <f>+F45</f>
        <v>-689</v>
      </c>
    </row>
    <row r="52" spans="2:9" ht="16" thickBot="1" x14ac:dyDescent="0.25">
      <c r="F52" s="238">
        <f>SUM(F50:F51)</f>
        <v>-2935</v>
      </c>
    </row>
    <row r="53" spans="2:9" ht="16" thickTop="1" x14ac:dyDescent="0.2"/>
  </sheetData>
  <sheetProtection algorithmName="SHA-512" hashValue="xzQ8PuzdBqOs9hmjmue5Beihnw+QJT2pIXYWjpNgMPC051rjGVCFRhizbEymU3i+xeCU57m6DKTVOLGPC88N7A==" saltValue="M9FW0k6iflzfF2seS5Q3TA==" spinCount="100000" sheet="1" objects="1" scenarios="1"/>
  <mergeCells count="23">
    <mergeCell ref="F45:F47"/>
    <mergeCell ref="C32:H32"/>
    <mergeCell ref="B25:K25"/>
    <mergeCell ref="I8:I10"/>
    <mergeCell ref="B13:K13"/>
    <mergeCell ref="B20:K20"/>
    <mergeCell ref="B44:E44"/>
    <mergeCell ref="B34:F34"/>
    <mergeCell ref="K16:K17"/>
    <mergeCell ref="B33:E33"/>
    <mergeCell ref="H33:K33"/>
    <mergeCell ref="F16:F17"/>
    <mergeCell ref="H16:H17"/>
    <mergeCell ref="K14:K15"/>
    <mergeCell ref="B3:K3"/>
    <mergeCell ref="F8:F10"/>
    <mergeCell ref="H8:H10"/>
    <mergeCell ref="E4:F4"/>
    <mergeCell ref="G4:H4"/>
    <mergeCell ref="B5:K5"/>
    <mergeCell ref="K6:K7"/>
    <mergeCell ref="F6:F7"/>
    <mergeCell ref="H6:H7"/>
  </mergeCells>
  <conditionalFormatting sqref="B4:C25">
    <cfRule type="cellIs" dxfId="227" priority="17" operator="equal">
      <formula>0</formula>
    </cfRule>
  </conditionalFormatting>
  <conditionalFormatting sqref="D4 E6:E8 D6:D9 D12:E12 D14:E19">
    <cfRule type="cellIs" dxfId="226" priority="26" operator="equal">
      <formula>0</formula>
    </cfRule>
  </conditionalFormatting>
  <conditionalFormatting sqref="D21:K24">
    <cfRule type="cellIs" dxfId="225" priority="23" operator="equal">
      <formula>0</formula>
    </cfRule>
  </conditionalFormatting>
  <conditionalFormatting sqref="E46:E48">
    <cfRule type="cellIs" dxfId="224" priority="1" operator="equal">
      <formula>0</formula>
    </cfRule>
  </conditionalFormatting>
  <conditionalFormatting sqref="E30:H30">
    <cfRule type="cellIs" dxfId="223" priority="44" operator="equal">
      <formula>0</formula>
    </cfRule>
  </conditionalFormatting>
  <conditionalFormatting sqref="F28:H28">
    <cfRule type="cellIs" dxfId="222" priority="58" operator="equal">
      <formula>0</formula>
    </cfRule>
  </conditionalFormatting>
  <conditionalFormatting sqref="F6:I6 G7:G8 I7:I9 F8:F9 K8:K12 G10 E10:E11 D11 K14 F14:I16 K16 G17 I17 F18:I19 K18:K19 B28:C29 D29:E29 F33 E35:F43 F44 E45:F45">
    <cfRule type="cellIs" dxfId="221" priority="93" operator="equal">
      <formula>0</formula>
    </cfRule>
  </conditionalFormatting>
  <conditionalFormatting sqref="F26:J26">
    <cfRule type="cellIs" dxfId="220" priority="28" operator="equal">
      <formula>0</formula>
    </cfRule>
  </conditionalFormatting>
  <conditionalFormatting sqref="H8:H9">
    <cfRule type="cellIs" dxfId="219" priority="15" operator="equal">
      <formula>0</formula>
    </cfRule>
  </conditionalFormatting>
  <conditionalFormatting sqref="I28:I30">
    <cfRule type="cellIs" dxfId="218" priority="43" operator="equal">
      <formula>0</formula>
    </cfRule>
  </conditionalFormatting>
  <conditionalFormatting sqref="I4:K4 J6:J9 F11:J12 J14:J19">
    <cfRule type="cellIs" dxfId="217" priority="30" operator="equal">
      <formula>0</formula>
    </cfRule>
  </conditionalFormatting>
  <conditionalFormatting sqref="K6">
    <cfRule type="cellIs" dxfId="216" priority="86" operator="equal">
      <formula>0</formula>
    </cfRule>
  </conditionalFormatting>
  <conditionalFormatting sqref="K26:K30">
    <cfRule type="cellIs" dxfId="215" priority="73" operator="equal">
      <formula>0</formula>
    </cfRule>
  </conditionalFormatting>
  <printOptions horizontalCentered="1"/>
  <pageMargins left="0.51181102362204722" right="0.11811023622047245" top="0.55118110236220474" bottom="0" header="0.31496062992125984" footer="0.31496062992125984"/>
  <pageSetup paperSize="9" scale="9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00FF00"/>
  </sheetPr>
  <dimension ref="A1:N28"/>
  <sheetViews>
    <sheetView zoomScaleNormal="100" zoomScaleSheetLayoutView="100" workbookViewId="0">
      <pane xSplit="2" ySplit="5" topLeftCell="C11"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2.6640625" style="2" customWidth="1"/>
    <col min="2" max="2" width="5" style="2" bestFit="1" customWidth="1"/>
    <col min="3" max="3" width="8.83203125" style="2" bestFit="1" customWidth="1"/>
    <col min="4" max="6" width="7.83203125" style="2" bestFit="1" customWidth="1"/>
    <col min="7" max="7" width="8.83203125" style="2" bestFit="1" customWidth="1"/>
    <col min="8" max="8" width="8.83203125" style="2" customWidth="1"/>
    <col min="9" max="10" width="8.83203125" style="2"/>
    <col min="11" max="11" width="10.5" style="2" bestFit="1" customWidth="1"/>
    <col min="12" max="12" width="13.5" style="2" bestFit="1" customWidth="1"/>
    <col min="13" max="13" width="26" style="2" bestFit="1" customWidth="1"/>
    <col min="14" max="14" width="6.6640625" style="2" bestFit="1" customWidth="1"/>
    <col min="15" max="16384" width="8.83203125" style="2"/>
  </cols>
  <sheetData>
    <row r="1" spans="1:14" s="1683" customFormat="1" ht="24" x14ac:dyDescent="0.2">
      <c r="A1" s="1912"/>
      <c r="B1" s="2289" t="s">
        <v>725</v>
      </c>
      <c r="C1" s="2289"/>
      <c r="D1" s="2289"/>
      <c r="E1" s="2289"/>
      <c r="F1" s="2289"/>
      <c r="G1" s="2289"/>
      <c r="H1" s="2289"/>
      <c r="I1" s="2289"/>
    </row>
    <row r="2" spans="1:14" ht="16" x14ac:dyDescent="0.2">
      <c r="B2" s="2413" t="s">
        <v>37</v>
      </c>
      <c r="C2" s="2413"/>
      <c r="D2" s="2413"/>
      <c r="E2" s="2413"/>
      <c r="F2" s="2413"/>
      <c r="G2" s="2413"/>
      <c r="H2" s="2413"/>
      <c r="I2" s="2413"/>
    </row>
    <row r="3" spans="1:14" x14ac:dyDescent="0.2">
      <c r="B3" s="73"/>
      <c r="C3" s="73"/>
      <c r="D3" s="73"/>
      <c r="E3" s="73"/>
      <c r="F3" s="73"/>
      <c r="G3" s="73"/>
      <c r="H3" s="73"/>
      <c r="I3" s="73"/>
    </row>
    <row r="4" spans="1:14" ht="14.5" customHeight="1" x14ac:dyDescent="0.2">
      <c r="B4" s="73"/>
      <c r="C4" s="2417" t="s">
        <v>588</v>
      </c>
      <c r="D4" s="2417"/>
      <c r="E4" s="2417"/>
      <c r="F4" s="2417"/>
      <c r="G4" s="2536" t="s">
        <v>589</v>
      </c>
      <c r="H4" s="2536"/>
      <c r="I4" s="2535" t="s">
        <v>521</v>
      </c>
    </row>
    <row r="5" spans="1:14" ht="19" x14ac:dyDescent="0.2">
      <c r="B5" s="73"/>
      <c r="C5" s="300">
        <v>1</v>
      </c>
      <c r="D5" s="300">
        <v>2</v>
      </c>
      <c r="E5" s="300">
        <v>3</v>
      </c>
      <c r="F5" s="300">
        <v>4</v>
      </c>
      <c r="G5" s="2536"/>
      <c r="H5" s="2536"/>
      <c r="I5" s="2535"/>
    </row>
    <row r="6" spans="1:14" ht="19" x14ac:dyDescent="0.2">
      <c r="B6" s="73">
        <v>2010</v>
      </c>
      <c r="C6" s="704"/>
      <c r="D6" s="704"/>
      <c r="E6" s="704"/>
      <c r="F6" s="704"/>
      <c r="G6" s="705"/>
      <c r="H6" s="705">
        <v>-50</v>
      </c>
      <c r="I6" s="706"/>
    </row>
    <row r="7" spans="1:14" ht="19" x14ac:dyDescent="0.2">
      <c r="B7" s="73">
        <v>2011</v>
      </c>
      <c r="C7" s="704"/>
      <c r="D7" s="704"/>
      <c r="E7" s="704"/>
      <c r="F7" s="704"/>
      <c r="G7" s="705"/>
      <c r="H7" s="705">
        <v>-97</v>
      </c>
      <c r="I7" s="706"/>
    </row>
    <row r="8" spans="1:14" ht="19" x14ac:dyDescent="0.2">
      <c r="B8" s="73">
        <v>2012</v>
      </c>
      <c r="C8" s="704"/>
      <c r="D8" s="704"/>
      <c r="E8" s="704"/>
      <c r="F8" s="704"/>
      <c r="G8" s="705"/>
      <c r="H8" s="705">
        <v>-86</v>
      </c>
      <c r="I8" s="706"/>
      <c r="K8" s="1217">
        <v>45314</v>
      </c>
      <c r="L8" s="331" t="s">
        <v>1306</v>
      </c>
      <c r="M8" s="331" t="s">
        <v>1307</v>
      </c>
      <c r="N8" s="2056">
        <v>-28.05</v>
      </c>
    </row>
    <row r="9" spans="1:14" ht="19" x14ac:dyDescent="0.2">
      <c r="B9" s="73">
        <v>2013</v>
      </c>
      <c r="C9" s="704"/>
      <c r="D9" s="704"/>
      <c r="E9" s="704"/>
      <c r="F9" s="704"/>
      <c r="G9" s="705"/>
      <c r="H9" s="705">
        <v>-147</v>
      </c>
      <c r="I9" s="706"/>
      <c r="K9" s="1218">
        <v>45343</v>
      </c>
      <c r="L9" s="330" t="s">
        <v>1306</v>
      </c>
      <c r="M9" s="330" t="s">
        <v>1308</v>
      </c>
      <c r="N9" s="2056">
        <v>-27.75</v>
      </c>
    </row>
    <row r="10" spans="1:14" x14ac:dyDescent="0.2">
      <c r="B10" s="73">
        <v>2014</v>
      </c>
      <c r="C10" s="707">
        <v>-43</v>
      </c>
      <c r="D10" s="707">
        <v>-77</v>
      </c>
      <c r="E10" s="707">
        <v>-48</v>
      </c>
      <c r="F10" s="707">
        <v>-49</v>
      </c>
      <c r="G10" s="705"/>
      <c r="H10" s="705">
        <f>SUM(D10:G10)</f>
        <v>-174</v>
      </c>
      <c r="I10" s="707"/>
      <c r="K10" s="1217">
        <v>45370</v>
      </c>
      <c r="L10" s="331" t="s">
        <v>1306</v>
      </c>
      <c r="M10" s="331" t="s">
        <v>1309</v>
      </c>
      <c r="N10" s="2056">
        <v>-17.3</v>
      </c>
    </row>
    <row r="11" spans="1:14" x14ac:dyDescent="0.2">
      <c r="B11" s="73">
        <v>2015</v>
      </c>
      <c r="C11" s="707">
        <v>-84</v>
      </c>
      <c r="D11" s="707">
        <v>-74</v>
      </c>
      <c r="E11" s="707">
        <v>-53</v>
      </c>
      <c r="F11" s="707">
        <v>-48</v>
      </c>
      <c r="G11" s="705"/>
      <c r="H11" s="705">
        <f t="shared" ref="H11:H13" si="0">SUM(D11:G11)</f>
        <v>-175</v>
      </c>
      <c r="I11" s="707"/>
      <c r="K11" s="1218">
        <v>45402</v>
      </c>
      <c r="L11" s="330" t="s">
        <v>1306</v>
      </c>
      <c r="M11" s="330" t="s">
        <v>1310</v>
      </c>
      <c r="N11" s="2056">
        <v>-36.14</v>
      </c>
    </row>
    <row r="12" spans="1:14" x14ac:dyDescent="0.2">
      <c r="B12" s="73">
        <v>2016</v>
      </c>
      <c r="C12" s="707">
        <v>-46</v>
      </c>
      <c r="D12" s="707">
        <v>-45</v>
      </c>
      <c r="E12" s="707">
        <v>-50</v>
      </c>
      <c r="F12" s="707">
        <v>-47</v>
      </c>
      <c r="G12" s="705"/>
      <c r="H12" s="705">
        <f t="shared" si="0"/>
        <v>-142</v>
      </c>
      <c r="I12" s="707"/>
      <c r="K12" s="1217">
        <v>45441</v>
      </c>
      <c r="L12" s="331" t="s">
        <v>1306</v>
      </c>
      <c r="M12" s="331" t="s">
        <v>1311</v>
      </c>
      <c r="N12" s="2056">
        <v>-32.32</v>
      </c>
    </row>
    <row r="13" spans="1:14" x14ac:dyDescent="0.2">
      <c r="B13" s="73">
        <v>2017</v>
      </c>
      <c r="C13" s="707">
        <v>-92</v>
      </c>
      <c r="D13" s="707">
        <v>-38</v>
      </c>
      <c r="E13" s="707">
        <v>-57</v>
      </c>
      <c r="F13" s="707">
        <v>-44</v>
      </c>
      <c r="G13" s="705"/>
      <c r="H13" s="705">
        <f t="shared" si="0"/>
        <v>-139</v>
      </c>
      <c r="I13" s="707"/>
      <c r="K13" s="1218">
        <v>45464</v>
      </c>
      <c r="L13" s="330" t="s">
        <v>1306</v>
      </c>
      <c r="M13" s="330" t="s">
        <v>1312</v>
      </c>
      <c r="N13" s="2056">
        <v>-40.89</v>
      </c>
    </row>
    <row r="14" spans="1:14" x14ac:dyDescent="0.2">
      <c r="B14" s="73">
        <v>2018</v>
      </c>
      <c r="C14" s="707">
        <v>-39</v>
      </c>
      <c r="D14" s="707">
        <v>-40</v>
      </c>
      <c r="E14" s="707">
        <v>-60</v>
      </c>
      <c r="F14" s="707">
        <v>-50</v>
      </c>
      <c r="G14" s="705"/>
      <c r="H14" s="705">
        <v>-216</v>
      </c>
      <c r="I14" s="707"/>
      <c r="K14" s="1217">
        <v>45495</v>
      </c>
      <c r="L14" s="331" t="s">
        <v>1306</v>
      </c>
      <c r="M14" s="331" t="s">
        <v>1313</v>
      </c>
      <c r="N14" s="2056">
        <v>-39.61</v>
      </c>
    </row>
    <row r="15" spans="1:14" x14ac:dyDescent="0.2">
      <c r="B15" s="73">
        <v>2019</v>
      </c>
      <c r="C15" s="707">
        <v>-47.81</v>
      </c>
      <c r="D15" s="707">
        <v>-94.69</v>
      </c>
      <c r="E15" s="707">
        <v>-81.900000000000006</v>
      </c>
      <c r="F15" s="707">
        <v>-63.75</v>
      </c>
      <c r="G15" s="705"/>
      <c r="H15" s="705">
        <f>SUM(D15:G15)</f>
        <v>-240.34</v>
      </c>
      <c r="I15" s="707"/>
      <c r="K15" s="1218">
        <v>45520</v>
      </c>
      <c r="L15" s="330" t="s">
        <v>1306</v>
      </c>
      <c r="M15" s="330" t="s">
        <v>1314</v>
      </c>
      <c r="N15" s="2056">
        <v>-42.48</v>
      </c>
    </row>
    <row r="16" spans="1:14" x14ac:dyDescent="0.2">
      <c r="B16" s="73">
        <v>2020</v>
      </c>
      <c r="C16" s="707"/>
      <c r="D16" s="707"/>
      <c r="E16" s="707"/>
      <c r="F16" s="707"/>
      <c r="G16" s="705"/>
      <c r="H16" s="705">
        <v>-195</v>
      </c>
      <c r="I16" s="707"/>
      <c r="K16" s="1217">
        <v>45552</v>
      </c>
      <c r="L16" s="331" t="s">
        <v>1306</v>
      </c>
      <c r="M16" s="331" t="s">
        <v>1315</v>
      </c>
      <c r="N16" s="2056">
        <v>-42.49</v>
      </c>
    </row>
    <row r="17" spans="2:14" x14ac:dyDescent="0.2">
      <c r="B17" s="2417">
        <v>2021</v>
      </c>
      <c r="C17" s="707"/>
      <c r="D17" s="707"/>
      <c r="E17" s="707"/>
      <c r="F17" s="707"/>
      <c r="G17" s="817">
        <v>-327</v>
      </c>
      <c r="H17" s="2445">
        <v>-267</v>
      </c>
      <c r="I17" s="811"/>
      <c r="K17" s="1218">
        <v>45582</v>
      </c>
      <c r="L17" s="330" t="s">
        <v>1306</v>
      </c>
      <c r="M17" s="330" t="s">
        <v>1316</v>
      </c>
      <c r="N17" s="2056">
        <v>-32.71</v>
      </c>
    </row>
    <row r="18" spans="2:14" x14ac:dyDescent="0.2">
      <c r="B18" s="2417"/>
      <c r="C18" s="707"/>
      <c r="D18" s="2534" t="s">
        <v>952</v>
      </c>
      <c r="E18" s="2534"/>
      <c r="F18" s="2534"/>
      <c r="G18" s="325">
        <v>60</v>
      </c>
      <c r="H18" s="2445"/>
      <c r="I18" s="811"/>
      <c r="K18" s="1217">
        <v>45617</v>
      </c>
      <c r="L18" s="331" t="s">
        <v>1306</v>
      </c>
      <c r="M18" s="331" t="s">
        <v>1317</v>
      </c>
      <c r="N18" s="2056">
        <v>-41.42</v>
      </c>
    </row>
    <row r="19" spans="2:14" x14ac:dyDescent="0.2">
      <c r="B19" s="52">
        <v>2022</v>
      </c>
      <c r="C19" s="707">
        <v>-62.32</v>
      </c>
      <c r="D19" s="1031">
        <v>-88.19</v>
      </c>
      <c r="E19" s="1031">
        <v>-101.48</v>
      </c>
      <c r="F19" s="1031">
        <v>-66.849999999999994</v>
      </c>
      <c r="G19" s="325"/>
      <c r="H19" s="817">
        <f>SUM(C19:G19)</f>
        <v>-318.84000000000003</v>
      </c>
      <c r="I19" s="811"/>
      <c r="K19" s="1218">
        <v>45643</v>
      </c>
      <c r="L19" s="330" t="s">
        <v>1306</v>
      </c>
      <c r="M19" s="330" t="s">
        <v>1318</v>
      </c>
      <c r="N19" s="2056">
        <v>-22.25</v>
      </c>
    </row>
    <row r="20" spans="2:14" ht="16" thickBot="1" x14ac:dyDescent="0.25">
      <c r="B20" s="52">
        <v>2023</v>
      </c>
      <c r="C20" s="707"/>
      <c r="D20" s="1031"/>
      <c r="E20" s="1031"/>
      <c r="F20" s="1031"/>
      <c r="G20" s="325"/>
      <c r="H20" s="817">
        <v>-672</v>
      </c>
      <c r="I20" s="811"/>
      <c r="K20" s="60"/>
      <c r="L20" s="60"/>
      <c r="M20" s="60"/>
      <c r="N20" s="2057">
        <f>SUM(N8:N19)</f>
        <v>-403.41</v>
      </c>
    </row>
    <row r="21" spans="2:14" ht="16" thickTop="1" x14ac:dyDescent="0.2">
      <c r="B21" s="52">
        <v>2024</v>
      </c>
      <c r="C21" s="707"/>
      <c r="D21" s="1031"/>
      <c r="E21" s="1031"/>
      <c r="F21" s="1031"/>
      <c r="G21" s="325"/>
      <c r="H21" s="817">
        <v>-403</v>
      </c>
      <c r="I21" s="811"/>
    </row>
    <row r="22" spans="2:14" x14ac:dyDescent="0.2">
      <c r="B22" s="52">
        <v>2025</v>
      </c>
      <c r="C22" s="707"/>
      <c r="D22" s="1031"/>
      <c r="E22" s="1031"/>
      <c r="F22" s="1031"/>
      <c r="G22" s="325"/>
      <c r="H22" s="817"/>
      <c r="I22" s="988">
        <v>-600</v>
      </c>
    </row>
    <row r="23" spans="2:14" x14ac:dyDescent="0.2">
      <c r="B23" s="52"/>
      <c r="C23" s="707"/>
      <c r="D23" s="1031"/>
      <c r="E23" s="1031"/>
      <c r="F23" s="1031"/>
      <c r="G23" s="325"/>
      <c r="H23" s="817"/>
      <c r="I23" s="811"/>
    </row>
    <row r="24" spans="2:14" x14ac:dyDescent="0.2">
      <c r="B24" s="52"/>
      <c r="C24" s="707"/>
      <c r="D24" s="1031"/>
      <c r="E24" s="1031"/>
      <c r="F24" s="1031"/>
      <c r="G24" s="325"/>
      <c r="H24" s="817"/>
      <c r="I24" s="811"/>
    </row>
    <row r="25" spans="2:14" x14ac:dyDescent="0.2">
      <c r="B25" s="52"/>
      <c r="C25" s="707"/>
      <c r="D25" s="1031"/>
      <c r="E25" s="1031"/>
      <c r="F25" s="1031"/>
      <c r="G25" s="325"/>
      <c r="H25" s="817"/>
      <c r="I25" s="811"/>
    </row>
    <row r="26" spans="2:14" x14ac:dyDescent="0.2">
      <c r="B26" s="52"/>
      <c r="C26" s="707"/>
      <c r="D26" s="1031"/>
      <c r="E26" s="1031"/>
      <c r="F26" s="1031"/>
      <c r="G26" s="325"/>
      <c r="H26" s="817"/>
      <c r="I26" s="811"/>
    </row>
    <row r="27" spans="2:14" ht="16" thickBot="1" x14ac:dyDescent="0.25">
      <c r="B27" s="24"/>
      <c r="C27" s="1596"/>
      <c r="D27" s="1596"/>
      <c r="E27" s="1596"/>
      <c r="F27" s="1596"/>
      <c r="G27" s="1596"/>
      <c r="H27" s="1596"/>
      <c r="I27" s="964">
        <f>SUM(I6:I26)</f>
        <v>-600</v>
      </c>
    </row>
    <row r="28" spans="2:14" ht="16" thickTop="1" x14ac:dyDescent="0.2"/>
  </sheetData>
  <mergeCells count="8">
    <mergeCell ref="B17:B18"/>
    <mergeCell ref="D18:F18"/>
    <mergeCell ref="H17:H18"/>
    <mergeCell ref="B1:I1"/>
    <mergeCell ref="C4:F4"/>
    <mergeCell ref="I4:I5"/>
    <mergeCell ref="B2:I2"/>
    <mergeCell ref="G4:H5"/>
  </mergeCells>
  <phoneticPr fontId="52" type="noConversion"/>
  <conditionalFormatting sqref="A1:B1">
    <cfRule type="cellIs" dxfId="31" priority="3" operator="equal">
      <formula>0</formula>
    </cfRule>
  </conditionalFormatting>
  <hyperlinks>
    <hyperlink ref="B1" location="Summary!A1" display="Summary!A1" xr:uid="{F95949D0-DEAD-45C3-9B1A-12CD6A2E69B6}"/>
    <hyperlink ref="I27" location="Summary!T48" display="Summary!T48" xr:uid="{10C9D755-95D7-4827-9F72-6EEA591FCE05}"/>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00FF00"/>
    <pageSetUpPr fitToPage="1"/>
  </sheetPr>
  <dimension ref="B1:AE23"/>
  <sheetViews>
    <sheetView zoomScaleNormal="100" zoomScaleSheetLayoutView="100" workbookViewId="0">
      <pane ySplit="6" topLeftCell="A7" activePane="bottomLeft" state="frozen"/>
      <selection activeCell="R7" sqref="R7"/>
      <selection pane="bottomLeft" activeCell="R7" sqref="R7"/>
    </sheetView>
  </sheetViews>
  <sheetFormatPr baseColWidth="10" defaultColWidth="11.83203125" defaultRowHeight="15" x14ac:dyDescent="0.2"/>
  <cols>
    <col min="1" max="1" width="4.6640625" style="2" customWidth="1"/>
    <col min="2" max="2" width="10.1640625" style="2" customWidth="1"/>
    <col min="3" max="3" width="21.6640625" style="2" customWidth="1"/>
    <col min="4" max="5" width="6.33203125" style="2" hidden="1" customWidth="1"/>
    <col min="6" max="6" width="10.33203125" style="2" hidden="1" customWidth="1"/>
    <col min="7" max="7" width="9.83203125" style="2" hidden="1" customWidth="1"/>
    <col min="8" max="8" width="10.33203125" style="2" hidden="1" customWidth="1"/>
    <col min="9" max="9" width="6.33203125" style="2" hidden="1" customWidth="1"/>
    <col min="10" max="10" width="4.5" style="2" hidden="1" customWidth="1"/>
    <col min="11" max="11" width="6.33203125" style="1926" hidden="1" customWidth="1"/>
    <col min="12" max="12" width="14.1640625" style="1971" hidden="1" customWidth="1"/>
    <col min="13" max="13" width="8" style="274" hidden="1" customWidth="1"/>
    <col min="14" max="14" width="6.33203125" style="1926" hidden="1" customWidth="1"/>
    <col min="15" max="15" width="4.33203125" style="274" hidden="1" customWidth="1"/>
    <col min="16" max="16" width="6.33203125" style="1926" hidden="1" customWidth="1"/>
    <col min="17" max="17" width="4.5" style="274" hidden="1" customWidth="1"/>
    <col min="18" max="18" width="5.33203125" style="1926" hidden="1" customWidth="1"/>
    <col min="19" max="19" width="4.33203125" style="274" customWidth="1"/>
    <col min="20" max="20" width="7.5" style="1926" customWidth="1"/>
    <col min="21" max="21" width="4.33203125" style="274" customWidth="1"/>
    <col min="22" max="22" width="7.5" style="1926" bestFit="1" customWidth="1"/>
    <col min="23" max="24" width="7.5" style="1926" customWidth="1"/>
    <col min="25" max="25" width="4.33203125" style="274" customWidth="1"/>
    <col min="26" max="26" width="7.5" style="1926" bestFit="1" customWidth="1"/>
    <col min="27" max="27" width="10.5" style="2" bestFit="1" customWidth="1"/>
    <col min="28" max="28" width="25.6640625" style="2" bestFit="1" customWidth="1"/>
    <col min="29" max="29" width="23.33203125" style="2" bestFit="1" customWidth="1"/>
    <col min="30" max="30" width="8.83203125" style="2" bestFit="1" customWidth="1"/>
    <col min="31" max="16384" width="11.83203125" style="2"/>
  </cols>
  <sheetData>
    <row r="1" spans="2:31" s="1683" customFormat="1" ht="24" x14ac:dyDescent="0.2">
      <c r="B1" s="2289" t="s">
        <v>725</v>
      </c>
      <c r="C1" s="2289"/>
      <c r="D1" s="2289"/>
      <c r="E1" s="2289"/>
      <c r="F1" s="2289"/>
      <c r="G1" s="2289"/>
      <c r="H1" s="2289"/>
      <c r="I1" s="2289"/>
      <c r="J1" s="2289"/>
      <c r="K1" s="2289"/>
      <c r="L1" s="2289"/>
      <c r="M1" s="2289"/>
      <c r="N1" s="2289"/>
      <c r="O1" s="2289"/>
      <c r="P1" s="2289"/>
      <c r="Q1" s="2289"/>
      <c r="R1" s="2289"/>
      <c r="S1" s="2289"/>
      <c r="T1" s="2289"/>
      <c r="U1" s="2289"/>
      <c r="V1" s="2289"/>
      <c r="W1" s="2289"/>
      <c r="X1" s="2289"/>
      <c r="Y1" s="2289"/>
      <c r="Z1" s="2289"/>
    </row>
    <row r="2" spans="2:31" x14ac:dyDescent="0.2">
      <c r="B2" s="2537" t="s">
        <v>38</v>
      </c>
      <c r="C2" s="2538"/>
      <c r="D2" s="2538"/>
      <c r="E2" s="2538"/>
      <c r="F2" s="2538"/>
      <c r="G2" s="2538"/>
      <c r="H2" s="2538"/>
      <c r="I2" s="2538"/>
      <c r="J2" s="2538"/>
      <c r="K2" s="2538"/>
      <c r="L2" s="2538"/>
      <c r="M2" s="2538"/>
      <c r="N2" s="2538"/>
      <c r="O2" s="2538"/>
      <c r="P2" s="2538"/>
      <c r="Q2" s="2538"/>
      <c r="R2" s="2538"/>
      <c r="S2" s="2538"/>
      <c r="T2" s="2538"/>
      <c r="U2" s="2538"/>
      <c r="V2" s="2538"/>
      <c r="W2" s="2538"/>
      <c r="X2" s="2538"/>
      <c r="Y2" s="2538"/>
      <c r="Z2" s="2539"/>
    </row>
    <row r="3" spans="2:31" ht="28.75" customHeight="1" x14ac:dyDescent="0.2">
      <c r="B3" s="10"/>
      <c r="C3" s="710"/>
      <c r="D3" s="711"/>
      <c r="E3" s="711"/>
      <c r="F3" s="711"/>
      <c r="G3" s="711"/>
      <c r="H3" s="711"/>
      <c r="I3" s="711"/>
      <c r="J3" s="719"/>
      <c r="K3" s="712"/>
      <c r="L3" s="828"/>
      <c r="M3" s="2544"/>
      <c r="N3" s="2548"/>
      <c r="O3" s="2550"/>
      <c r="P3" s="2551"/>
      <c r="Q3" s="2540" t="s">
        <v>953</v>
      </c>
      <c r="R3" s="2541"/>
      <c r="S3" s="2563" t="s">
        <v>481</v>
      </c>
      <c r="T3" s="2295"/>
      <c r="U3" s="2295"/>
      <c r="V3" s="2295"/>
      <c r="W3" s="2295"/>
      <c r="X3" s="2335"/>
      <c r="Y3" s="2555" t="s">
        <v>519</v>
      </c>
      <c r="Z3" s="2556"/>
    </row>
    <row r="4" spans="2:31" ht="28.75" customHeight="1" x14ac:dyDescent="0.2">
      <c r="B4" s="10"/>
      <c r="C4" s="710"/>
      <c r="D4" s="711"/>
      <c r="E4" s="711"/>
      <c r="F4" s="711"/>
      <c r="G4" s="711"/>
      <c r="H4" s="711"/>
      <c r="I4" s="711"/>
      <c r="J4" s="719"/>
      <c r="K4" s="712"/>
      <c r="L4" s="828"/>
      <c r="M4" s="1249"/>
      <c r="N4" s="1250"/>
      <c r="O4" s="1247"/>
      <c r="P4" s="1248"/>
      <c r="Q4" s="1251"/>
      <c r="R4" s="1252"/>
      <c r="S4" s="2546">
        <v>2022</v>
      </c>
      <c r="T4" s="2547"/>
      <c r="U4" s="2557">
        <v>2023</v>
      </c>
      <c r="V4" s="2558"/>
      <c r="W4" s="2559">
        <v>2024</v>
      </c>
      <c r="X4" s="2560"/>
      <c r="Y4" s="2559">
        <v>2025</v>
      </c>
      <c r="Z4" s="2564"/>
    </row>
    <row r="5" spans="2:31" x14ac:dyDescent="0.2">
      <c r="B5" s="10"/>
      <c r="C5" s="710" t="s">
        <v>309</v>
      </c>
      <c r="D5" s="711"/>
      <c r="E5" s="711"/>
      <c r="F5" s="711"/>
      <c r="G5" s="711"/>
      <c r="H5" s="711"/>
      <c r="I5" s="711"/>
      <c r="J5" s="719"/>
      <c r="K5" s="712"/>
      <c r="L5" s="828"/>
      <c r="M5" s="2544">
        <v>26.5</v>
      </c>
      <c r="N5" s="2548"/>
      <c r="O5" s="2550">
        <v>27.5</v>
      </c>
      <c r="P5" s="2551"/>
      <c r="Q5" s="2544">
        <v>27.5</v>
      </c>
      <c r="R5" s="2545"/>
      <c r="S5" s="2544">
        <v>27.5</v>
      </c>
      <c r="T5" s="2545"/>
      <c r="U5" s="2550">
        <v>27.5</v>
      </c>
      <c r="V5" s="2569"/>
      <c r="W5" s="2550">
        <v>27.5</v>
      </c>
      <c r="X5" s="2561"/>
      <c r="Y5" s="2565">
        <v>27.5</v>
      </c>
      <c r="Z5" s="2566"/>
    </row>
    <row r="6" spans="2:31" ht="16" thickBot="1" x14ac:dyDescent="0.25">
      <c r="B6" s="1411"/>
      <c r="C6" s="730" t="s">
        <v>559</v>
      </c>
      <c r="D6" s="1412"/>
      <c r="E6" s="1412"/>
      <c r="F6" s="1412"/>
      <c r="G6" s="1412"/>
      <c r="H6" s="1412"/>
      <c r="I6" s="731"/>
      <c r="J6" s="1413"/>
      <c r="K6" s="398"/>
      <c r="L6" s="732"/>
      <c r="M6" s="2542">
        <v>14</v>
      </c>
      <c r="N6" s="2549"/>
      <c r="O6" s="2552">
        <v>14.5</v>
      </c>
      <c r="P6" s="2553"/>
      <c r="Q6" s="2542">
        <v>14.5</v>
      </c>
      <c r="R6" s="2543"/>
      <c r="S6" s="2542">
        <v>14.5</v>
      </c>
      <c r="T6" s="2543"/>
      <c r="U6" s="2552">
        <v>14.5</v>
      </c>
      <c r="V6" s="2570"/>
      <c r="W6" s="2552">
        <v>14.5</v>
      </c>
      <c r="X6" s="2562"/>
      <c r="Y6" s="2567">
        <v>14.5</v>
      </c>
      <c r="Z6" s="2568"/>
    </row>
    <row r="7" spans="2:31" x14ac:dyDescent="0.2">
      <c r="B7" s="12" t="s">
        <v>307</v>
      </c>
      <c r="C7" s="12" t="s">
        <v>590</v>
      </c>
      <c r="D7" s="303">
        <v>-24</v>
      </c>
      <c r="E7" s="303">
        <v>-39</v>
      </c>
      <c r="F7" s="307">
        <f>-G7/12.5</f>
        <v>3</v>
      </c>
      <c r="G7" s="303">
        <v>-37.5</v>
      </c>
      <c r="H7" s="307">
        <v>3.75</v>
      </c>
      <c r="I7" s="352">
        <v>-48.75</v>
      </c>
      <c r="J7" s="720">
        <v>4</v>
      </c>
      <c r="K7" s="708">
        <v>-40.5</v>
      </c>
      <c r="L7" s="1414">
        <v>43581</v>
      </c>
      <c r="M7" s="713">
        <v>2.5</v>
      </c>
      <c r="N7" s="716">
        <f>-M7*14</f>
        <v>-35</v>
      </c>
      <c r="O7" s="713"/>
      <c r="P7" s="865"/>
      <c r="Q7" s="713"/>
      <c r="R7" s="865"/>
      <c r="S7" s="713"/>
      <c r="T7" s="716"/>
      <c r="U7" s="713"/>
      <c r="V7" s="716"/>
      <c r="W7" s="1295"/>
      <c r="X7" s="1297"/>
      <c r="Y7" s="713"/>
      <c r="Z7" s="865"/>
    </row>
    <row r="8" spans="2:31" x14ac:dyDescent="0.2">
      <c r="B8" s="12" t="s">
        <v>307</v>
      </c>
      <c r="C8" s="12" t="s">
        <v>204</v>
      </c>
      <c r="D8" s="303"/>
      <c r="E8" s="303"/>
      <c r="F8" s="351"/>
      <c r="G8" s="352"/>
      <c r="H8" s="307">
        <v>0.75</v>
      </c>
      <c r="I8" s="717">
        <v>-94.75</v>
      </c>
      <c r="J8" s="720"/>
      <c r="K8" s="708">
        <v>-83.5</v>
      </c>
      <c r="L8" s="1414">
        <v>43602</v>
      </c>
      <c r="M8" s="713">
        <v>1</v>
      </c>
      <c r="N8" s="716">
        <v>-14</v>
      </c>
      <c r="O8" s="713"/>
      <c r="P8" s="865"/>
      <c r="Q8" s="713"/>
      <c r="R8" s="865"/>
      <c r="S8" s="713"/>
      <c r="T8" s="716">
        <v>-65.25</v>
      </c>
      <c r="U8" s="713"/>
      <c r="V8" s="716"/>
      <c r="W8" s="1295"/>
      <c r="X8" s="1298"/>
      <c r="Y8" s="713"/>
      <c r="Z8" s="865"/>
      <c r="AA8" s="1914">
        <v>45362</v>
      </c>
      <c r="AB8" s="1915" t="s">
        <v>1319</v>
      </c>
      <c r="AC8" s="1915" t="s">
        <v>1320</v>
      </c>
      <c r="AD8" s="2046">
        <v>-152.75</v>
      </c>
    </row>
    <row r="9" spans="2:31" x14ac:dyDescent="0.2">
      <c r="B9" s="13" t="s">
        <v>307</v>
      </c>
      <c r="C9" s="12" t="s">
        <v>205</v>
      </c>
      <c r="D9" s="303">
        <v>-12</v>
      </c>
      <c r="E9" s="303">
        <v>-24</v>
      </c>
      <c r="F9" s="307">
        <f>-G9/12.5</f>
        <v>2.16</v>
      </c>
      <c r="G9" s="303">
        <v>-27</v>
      </c>
      <c r="H9" s="307">
        <v>2.5</v>
      </c>
      <c r="I9" s="717"/>
      <c r="J9" s="720">
        <v>2</v>
      </c>
      <c r="K9" s="708">
        <v>-27</v>
      </c>
      <c r="L9" s="1415">
        <v>43539</v>
      </c>
      <c r="M9" s="713">
        <v>2</v>
      </c>
      <c r="N9" s="716">
        <v>-28</v>
      </c>
      <c r="O9" s="713"/>
      <c r="P9" s="865"/>
      <c r="Q9" s="713"/>
      <c r="R9" s="865"/>
      <c r="S9" s="713"/>
      <c r="T9" s="716">
        <v>-29</v>
      </c>
      <c r="U9" s="713"/>
      <c r="V9" s="716"/>
      <c r="W9" s="1295"/>
      <c r="X9" s="1298"/>
      <c r="Y9" s="713"/>
      <c r="Z9" s="865"/>
      <c r="AA9" s="1916">
        <v>45432</v>
      </c>
      <c r="AB9" s="1917" t="s">
        <v>1319</v>
      </c>
      <c r="AC9" s="1917" t="s">
        <v>1321</v>
      </c>
      <c r="AD9" s="2046">
        <v>-130.5</v>
      </c>
    </row>
    <row r="10" spans="2:31" x14ac:dyDescent="0.2">
      <c r="B10" s="12" t="s">
        <v>308</v>
      </c>
      <c r="C10" s="12" t="s">
        <v>13</v>
      </c>
      <c r="D10" s="303">
        <v>-54</v>
      </c>
      <c r="E10" s="303">
        <v>-48</v>
      </c>
      <c r="F10" s="307">
        <f>-G10/12.5</f>
        <v>6.3903999999999996</v>
      </c>
      <c r="G10" s="303">
        <v>-79.88</v>
      </c>
      <c r="H10" s="304"/>
      <c r="I10" s="717">
        <v>-32.5</v>
      </c>
      <c r="J10" s="720">
        <v>6.5</v>
      </c>
      <c r="K10" s="708">
        <v>-67.5</v>
      </c>
      <c r="L10" s="1415">
        <v>43604</v>
      </c>
      <c r="M10" s="713">
        <v>5.75</v>
      </c>
      <c r="N10" s="716">
        <f>-5.75*14</f>
        <v>-80.5</v>
      </c>
      <c r="O10" s="713"/>
      <c r="P10" s="865"/>
      <c r="Q10" s="713"/>
      <c r="R10" s="865"/>
      <c r="S10" s="713"/>
      <c r="T10" s="716">
        <v>-72.5</v>
      </c>
      <c r="U10" s="713"/>
      <c r="V10" s="716"/>
      <c r="W10" s="1295"/>
      <c r="X10" s="2554">
        <v>-130.5</v>
      </c>
      <c r="Y10" s="713"/>
      <c r="Z10" s="865"/>
      <c r="AA10" s="1914">
        <v>45645</v>
      </c>
      <c r="AB10" s="1915" t="s">
        <v>1319</v>
      </c>
      <c r="AC10" s="1915" t="s">
        <v>1322</v>
      </c>
      <c r="AD10" s="2046">
        <v>-151.25</v>
      </c>
      <c r="AE10" s="2" t="s">
        <v>1323</v>
      </c>
    </row>
    <row r="11" spans="2:31" x14ac:dyDescent="0.2">
      <c r="B11" s="12" t="s">
        <v>309</v>
      </c>
      <c r="C11" s="12" t="s">
        <v>204</v>
      </c>
      <c r="D11" s="303">
        <v>-51</v>
      </c>
      <c r="E11" s="303">
        <v>-68</v>
      </c>
      <c r="F11" s="307">
        <f>-G11/18</f>
        <v>4</v>
      </c>
      <c r="G11" s="303">
        <v>-72</v>
      </c>
      <c r="H11" s="307">
        <v>4.25</v>
      </c>
      <c r="I11" s="717"/>
      <c r="J11" s="720">
        <v>4.5</v>
      </c>
      <c r="K11" s="708"/>
      <c r="L11" s="1415">
        <v>43603</v>
      </c>
      <c r="M11" s="713">
        <v>5</v>
      </c>
      <c r="N11" s="716">
        <f>-26.5*5</f>
        <v>-132.5</v>
      </c>
      <c r="O11" s="713"/>
      <c r="P11" s="865"/>
      <c r="Q11" s="713"/>
      <c r="R11" s="865"/>
      <c r="S11" s="713"/>
      <c r="T11" s="716">
        <v>-151.25</v>
      </c>
      <c r="U11" s="713"/>
      <c r="V11" s="716"/>
      <c r="W11" s="1295"/>
      <c r="X11" s="2554"/>
      <c r="Y11" s="713"/>
      <c r="Z11" s="865"/>
    </row>
    <row r="12" spans="2:31" x14ac:dyDescent="0.2">
      <c r="B12" s="12" t="s">
        <v>309</v>
      </c>
      <c r="C12" s="12" t="s">
        <v>206</v>
      </c>
      <c r="D12" s="303">
        <v>-59.5</v>
      </c>
      <c r="E12" s="303">
        <v>-89.25</v>
      </c>
      <c r="F12" s="307">
        <v>5</v>
      </c>
      <c r="G12" s="303">
        <f>-4*18</f>
        <v>-72</v>
      </c>
      <c r="H12" s="307">
        <v>6.5</v>
      </c>
      <c r="I12" s="352">
        <v>-130</v>
      </c>
      <c r="J12" s="720">
        <v>5</v>
      </c>
      <c r="K12" s="708">
        <v>-120</v>
      </c>
      <c r="L12" s="1415">
        <v>43806</v>
      </c>
      <c r="M12" s="713">
        <v>7</v>
      </c>
      <c r="N12" s="716">
        <f>-7*26.5</f>
        <v>-185.5</v>
      </c>
      <c r="O12" s="713"/>
      <c r="P12" s="865"/>
      <c r="Q12" s="713">
        <v>5</v>
      </c>
      <c r="R12" s="865">
        <v>-69</v>
      </c>
      <c r="S12" s="713"/>
      <c r="T12" s="716"/>
      <c r="U12" s="713"/>
      <c r="V12" s="716"/>
      <c r="W12" s="1295"/>
      <c r="X12" s="1298"/>
      <c r="Y12" s="713"/>
      <c r="Z12" s="865"/>
    </row>
    <row r="13" spans="2:31" x14ac:dyDescent="0.2">
      <c r="B13" s="12" t="s">
        <v>309</v>
      </c>
      <c r="C13" s="12" t="s">
        <v>203</v>
      </c>
      <c r="D13" s="303">
        <v>-59.5</v>
      </c>
      <c r="E13" s="303">
        <v>-85</v>
      </c>
      <c r="F13" s="12"/>
      <c r="G13" s="12" t="s">
        <v>395</v>
      </c>
      <c r="H13" s="337"/>
      <c r="I13" s="352"/>
      <c r="J13" s="1416"/>
      <c r="K13" s="708"/>
      <c r="L13" s="428" t="s">
        <v>582</v>
      </c>
      <c r="M13" s="1417" t="s">
        <v>582</v>
      </c>
      <c r="N13" s="716"/>
      <c r="O13" s="1417"/>
      <c r="P13" s="865"/>
      <c r="Q13" s="1417"/>
      <c r="R13" s="865"/>
      <c r="S13" s="1417"/>
      <c r="T13" s="716"/>
      <c r="U13" s="1417"/>
      <c r="V13" s="716"/>
      <c r="W13" s="1295"/>
      <c r="X13" s="1298"/>
      <c r="Y13" s="1417"/>
      <c r="Z13" s="865"/>
    </row>
    <row r="14" spans="2:31" x14ac:dyDescent="0.2">
      <c r="B14" s="12" t="s">
        <v>309</v>
      </c>
      <c r="C14" s="12" t="s">
        <v>31</v>
      </c>
      <c r="D14" s="303">
        <v>-154</v>
      </c>
      <c r="E14" s="303"/>
      <c r="F14" s="308"/>
      <c r="G14" s="303">
        <v>-162</v>
      </c>
      <c r="H14" s="308"/>
      <c r="I14" s="352"/>
      <c r="J14" s="722"/>
      <c r="K14" s="708">
        <v>-110</v>
      </c>
      <c r="L14" s="428" t="s">
        <v>582</v>
      </c>
      <c r="M14" s="1417" t="s">
        <v>582</v>
      </c>
      <c r="N14" s="716"/>
      <c r="O14" s="715"/>
      <c r="P14" s="865">
        <v>-193</v>
      </c>
      <c r="Q14" s="715"/>
      <c r="R14" s="865"/>
      <c r="S14" s="715"/>
      <c r="T14" s="716">
        <v>-165</v>
      </c>
      <c r="U14" s="715"/>
      <c r="V14" s="716"/>
      <c r="W14" s="1296"/>
      <c r="X14" s="1298">
        <v>-152.75</v>
      </c>
      <c r="Y14" s="715"/>
      <c r="Z14" s="865"/>
    </row>
    <row r="15" spans="2:31" x14ac:dyDescent="0.2">
      <c r="B15" s="13"/>
      <c r="C15" s="1418" t="s">
        <v>202</v>
      </c>
      <c r="D15" s="303">
        <v>-36</v>
      </c>
      <c r="E15" s="303"/>
      <c r="F15" s="724"/>
      <c r="G15" s="303"/>
      <c r="H15" s="353"/>
      <c r="I15" s="352"/>
      <c r="J15" s="721"/>
      <c r="K15" s="708"/>
      <c r="L15" s="428" t="s">
        <v>582</v>
      </c>
      <c r="M15" s="1417" t="s">
        <v>582</v>
      </c>
      <c r="N15" s="716"/>
      <c r="O15" s="714"/>
      <c r="P15" s="865"/>
      <c r="Q15" s="714"/>
      <c r="R15" s="865"/>
      <c r="S15" s="714"/>
      <c r="T15" s="716"/>
      <c r="U15" s="714"/>
      <c r="V15" s="716"/>
      <c r="W15" s="1296"/>
      <c r="X15" s="1298"/>
      <c r="Y15" s="714"/>
      <c r="Z15" s="865"/>
    </row>
    <row r="16" spans="2:31" x14ac:dyDescent="0.2">
      <c r="B16" s="13"/>
      <c r="C16" s="1419" t="s">
        <v>1029</v>
      </c>
      <c r="D16" s="725"/>
      <c r="E16" s="725"/>
      <c r="F16" s="353"/>
      <c r="G16" s="725"/>
      <c r="H16" s="353"/>
      <c r="I16" s="881"/>
      <c r="J16" s="721"/>
      <c r="K16" s="726"/>
      <c r="L16" s="1420"/>
      <c r="M16" s="1421"/>
      <c r="N16" s="727"/>
      <c r="O16" s="714"/>
      <c r="P16" s="864"/>
      <c r="Q16" s="714"/>
      <c r="R16" s="864"/>
      <c r="S16" s="714"/>
      <c r="T16" s="727">
        <v>-43.5</v>
      </c>
      <c r="U16" s="714"/>
      <c r="V16" s="727"/>
      <c r="W16" s="1296"/>
      <c r="X16" s="1298"/>
      <c r="Y16" s="714"/>
      <c r="Z16" s="864"/>
    </row>
    <row r="17" spans="2:26" x14ac:dyDescent="0.2">
      <c r="B17" s="13"/>
      <c r="C17" s="1422" t="s">
        <v>1069</v>
      </c>
      <c r="D17" s="1032"/>
      <c r="E17" s="1032"/>
      <c r="F17" s="1033"/>
      <c r="G17" s="1032"/>
      <c r="H17" s="1033"/>
      <c r="I17" s="1034"/>
      <c r="J17" s="1035"/>
      <c r="K17" s="1036"/>
      <c r="L17" s="1423"/>
      <c r="M17" s="1424"/>
      <c r="N17" s="1037"/>
      <c r="O17" s="1038"/>
      <c r="P17" s="1039"/>
      <c r="Q17" s="1038"/>
      <c r="R17" s="1039"/>
      <c r="S17" s="1038"/>
      <c r="T17" s="1040">
        <v>-35</v>
      </c>
      <c r="U17" s="714"/>
      <c r="V17" s="727"/>
      <c r="W17" s="1296"/>
      <c r="X17" s="1298"/>
      <c r="Y17" s="714"/>
      <c r="Z17" s="864"/>
    </row>
    <row r="18" spans="2:26" x14ac:dyDescent="0.2">
      <c r="B18" s="13"/>
      <c r="C18" s="1419"/>
      <c r="D18" s="725"/>
      <c r="E18" s="725"/>
      <c r="F18" s="353"/>
      <c r="G18" s="725"/>
      <c r="H18" s="353"/>
      <c r="I18" s="881"/>
      <c r="J18" s="721"/>
      <c r="K18" s="726"/>
      <c r="L18" s="1420"/>
      <c r="M18" s="1421"/>
      <c r="N18" s="727"/>
      <c r="O18" s="714"/>
      <c r="P18" s="864"/>
      <c r="Q18" s="714"/>
      <c r="R18" s="864"/>
      <c r="S18" s="714"/>
      <c r="T18" s="727"/>
      <c r="U18" s="714"/>
      <c r="V18" s="727"/>
      <c r="W18" s="1296"/>
      <c r="X18" s="1298"/>
      <c r="Y18" s="714"/>
      <c r="Z18" s="864"/>
    </row>
    <row r="19" spans="2:26" x14ac:dyDescent="0.2">
      <c r="B19" s="13"/>
      <c r="C19" s="1419"/>
      <c r="D19" s="725"/>
      <c r="E19" s="725"/>
      <c r="F19" s="353"/>
      <c r="G19" s="725"/>
      <c r="H19" s="353"/>
      <c r="I19" s="881"/>
      <c r="J19" s="721"/>
      <c r="K19" s="726"/>
      <c r="L19" s="1420"/>
      <c r="M19" s="1421"/>
      <c r="N19" s="727"/>
      <c r="O19" s="714"/>
      <c r="P19" s="864"/>
      <c r="Q19" s="714"/>
      <c r="R19" s="864"/>
      <c r="S19" s="714"/>
      <c r="T19" s="727"/>
      <c r="U19" s="714"/>
      <c r="V19" s="727">
        <v>-318</v>
      </c>
      <c r="W19" s="1296"/>
      <c r="X19" s="1298"/>
      <c r="Y19" s="714"/>
      <c r="Z19" s="864"/>
    </row>
    <row r="20" spans="2:26" x14ac:dyDescent="0.2">
      <c r="B20" s="13"/>
      <c r="C20" s="1419"/>
      <c r="D20" s="725"/>
      <c r="E20" s="725"/>
      <c r="F20" s="353"/>
      <c r="G20" s="725"/>
      <c r="H20" s="353"/>
      <c r="I20" s="881"/>
      <c r="J20" s="721"/>
      <c r="K20" s="726"/>
      <c r="L20" s="1420"/>
      <c r="M20" s="1421"/>
      <c r="N20" s="727"/>
      <c r="O20" s="714"/>
      <c r="P20" s="864"/>
      <c r="Q20" s="714"/>
      <c r="R20" s="864"/>
      <c r="S20" s="714"/>
      <c r="T20" s="727"/>
      <c r="U20" s="714"/>
      <c r="V20" s="727"/>
      <c r="W20" s="1296"/>
      <c r="X20" s="1298"/>
      <c r="Y20" s="714"/>
      <c r="Z20" s="864"/>
    </row>
    <row r="21" spans="2:26" x14ac:dyDescent="0.2">
      <c r="B21" s="12"/>
      <c r="C21" s="1418"/>
      <c r="D21" s="303"/>
      <c r="E21" s="303"/>
      <c r="F21" s="724"/>
      <c r="G21" s="303"/>
      <c r="H21" s="724"/>
      <c r="I21" s="352"/>
      <c r="J21" s="1597"/>
      <c r="K21" s="708"/>
      <c r="L21" s="428"/>
      <c r="M21" s="1417"/>
      <c r="N21" s="716"/>
      <c r="O21" s="1598"/>
      <c r="P21" s="865"/>
      <c r="Q21" s="1598"/>
      <c r="R21" s="865"/>
      <c r="S21" s="1598"/>
      <c r="T21" s="716"/>
      <c r="U21" s="1598"/>
      <c r="V21" s="716"/>
      <c r="W21" s="1295"/>
      <c r="X21" s="1298"/>
      <c r="Y21" s="1598"/>
      <c r="Z21" s="1599">
        <v>-500</v>
      </c>
    </row>
    <row r="22" spans="2:26" ht="16" thickBot="1" x14ac:dyDescent="0.25">
      <c r="B22" s="60"/>
      <c r="C22" s="1425"/>
      <c r="D22" s="305">
        <f>SUM(D7:D15)</f>
        <v>-450</v>
      </c>
      <c r="E22" s="305">
        <f>SUM(E7:E15)</f>
        <v>-353.25</v>
      </c>
      <c r="F22" s="306"/>
      <c r="G22" s="305">
        <f>SUM(G7:G15)</f>
        <v>-450.38</v>
      </c>
      <c r="H22" s="306"/>
      <c r="I22" s="718">
        <f>SUM(I7:I15)</f>
        <v>-306</v>
      </c>
      <c r="J22" s="723"/>
      <c r="K22" s="709">
        <f>SUM(K7:K21)</f>
        <v>-448.5</v>
      </c>
      <c r="L22" s="882"/>
      <c r="M22" s="883"/>
      <c r="N22" s="709">
        <f>SUM(N7:N21)</f>
        <v>-475.5</v>
      </c>
      <c r="O22" s="883"/>
      <c r="P22" s="709">
        <f>SUM(P7:P21)</f>
        <v>-193</v>
      </c>
      <c r="Q22" s="883"/>
      <c r="R22" s="709">
        <f>SUM(R7:R21)</f>
        <v>-69</v>
      </c>
      <c r="S22" s="883"/>
      <c r="T22" s="709">
        <f>SUM(T7:T21)</f>
        <v>-561.5</v>
      </c>
      <c r="U22" s="883"/>
      <c r="V22" s="1600">
        <f>SUM(V7:V21)</f>
        <v>-318</v>
      </c>
      <c r="W22" s="1601"/>
      <c r="X22" s="1077">
        <f>SUM(X7:X21)</f>
        <v>-283.25</v>
      </c>
      <c r="Y22" s="883"/>
      <c r="Z22" s="971">
        <f>SUM(Z7:Z21)</f>
        <v>-500</v>
      </c>
    </row>
    <row r="23" spans="2:26" ht="16" thickTop="1" x14ac:dyDescent="0.2"/>
  </sheetData>
  <sortState xmlns:xlrd2="http://schemas.microsoft.com/office/spreadsheetml/2017/richdata2" ref="B7:T15">
    <sortCondition ref="B7:B15"/>
  </sortState>
  <mergeCells count="26">
    <mergeCell ref="X10:X11"/>
    <mergeCell ref="Y3:Z3"/>
    <mergeCell ref="U4:V4"/>
    <mergeCell ref="W4:X4"/>
    <mergeCell ref="W5:X5"/>
    <mergeCell ref="W6:X6"/>
    <mergeCell ref="S3:X3"/>
    <mergeCell ref="Y4:Z4"/>
    <mergeCell ref="Y5:Z5"/>
    <mergeCell ref="Y6:Z6"/>
    <mergeCell ref="U5:V5"/>
    <mergeCell ref="U6:V6"/>
    <mergeCell ref="B1:Z1"/>
    <mergeCell ref="B2:Z2"/>
    <mergeCell ref="Q3:R3"/>
    <mergeCell ref="Q6:R6"/>
    <mergeCell ref="Q5:R5"/>
    <mergeCell ref="S5:T5"/>
    <mergeCell ref="S6:T6"/>
    <mergeCell ref="S4:T4"/>
    <mergeCell ref="M5:N5"/>
    <mergeCell ref="M6:N6"/>
    <mergeCell ref="O5:P5"/>
    <mergeCell ref="O6:P6"/>
    <mergeCell ref="M3:N3"/>
    <mergeCell ref="O3:P3"/>
  </mergeCells>
  <conditionalFormatting sqref="B1">
    <cfRule type="cellIs" dxfId="30" priority="1" operator="equal">
      <formula>0</formula>
    </cfRule>
  </conditionalFormatting>
  <hyperlinks>
    <hyperlink ref="B1" location="Summary!A1" display="Summary!A1" xr:uid="{A363EFA5-DB6D-4361-B9D5-C4F9AF1B3BCA}"/>
    <hyperlink ref="Z22" location="Summary!T49" display="Summary!T49" xr:uid="{07816DB0-CC3A-4ADD-ABC3-CABB6C844BAF}"/>
  </hyperlinks>
  <printOptions horizontalCentered="1"/>
  <pageMargins left="0.51181102362204722" right="0" top="0.59055118110236227" bottom="0.15748031496062992"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00FF00"/>
    <pageSetUpPr fitToPage="1"/>
  </sheetPr>
  <dimension ref="A1:T35"/>
  <sheetViews>
    <sheetView zoomScaleNormal="100" zoomScaleSheetLayoutView="100" workbookViewId="0">
      <pane xSplit="3" ySplit="4" topLeftCell="L5"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2.83203125" style="2" customWidth="1"/>
    <col min="2" max="2" width="39.5" style="2" bestFit="1" customWidth="1"/>
    <col min="3" max="3" width="8.6640625" style="2" hidden="1" customWidth="1"/>
    <col min="4" max="5" width="8.1640625" style="2" hidden="1" customWidth="1"/>
    <col min="6" max="6" width="7.5" style="2" hidden="1" customWidth="1"/>
    <col min="7" max="11" width="8.1640625" style="2" hidden="1" customWidth="1"/>
    <col min="12" max="13" width="8.1640625" style="2" bestFit="1" customWidth="1"/>
    <col min="14" max="14" width="8.1640625" style="2" customWidth="1"/>
    <col min="15" max="15" width="8.1640625" style="2" bestFit="1" customWidth="1"/>
    <col min="16" max="16" width="8.83203125" style="2"/>
    <col min="17" max="17" width="15.6640625" style="2" bestFit="1" customWidth="1"/>
    <col min="18" max="18" width="24" style="2" bestFit="1" customWidth="1"/>
    <col min="19" max="19" width="12.33203125" style="2" bestFit="1" customWidth="1"/>
    <col min="20" max="16384" width="8.83203125" style="2"/>
  </cols>
  <sheetData>
    <row r="1" spans="1:20" s="1683" customFormat="1" ht="24" x14ac:dyDescent="0.2">
      <c r="A1" s="1912"/>
      <c r="B1" s="2289" t="s">
        <v>725</v>
      </c>
      <c r="C1" s="2289"/>
      <c r="D1" s="2289"/>
      <c r="E1" s="2289"/>
      <c r="F1" s="2289"/>
      <c r="G1" s="2289"/>
      <c r="H1" s="2289"/>
      <c r="I1" s="2289"/>
      <c r="J1" s="2289"/>
      <c r="K1" s="2289"/>
      <c r="L1" s="2289"/>
      <c r="M1" s="2289"/>
      <c r="N1" s="2289"/>
      <c r="O1" s="2289"/>
      <c r="Q1" s="1929"/>
      <c r="R1" s="1929"/>
      <c r="S1" s="1929"/>
    </row>
    <row r="2" spans="1:20" ht="16" x14ac:dyDescent="0.2">
      <c r="B2" s="2447" t="s">
        <v>39</v>
      </c>
      <c r="C2" s="2447"/>
      <c r="D2" s="2447"/>
      <c r="E2" s="2447"/>
      <c r="F2" s="2447"/>
      <c r="G2" s="2447"/>
      <c r="H2" s="2447"/>
      <c r="I2" s="2447"/>
      <c r="J2" s="2447"/>
      <c r="K2" s="2447"/>
      <c r="L2" s="2447"/>
      <c r="M2" s="2447"/>
      <c r="N2" s="2447"/>
      <c r="O2" s="2447"/>
    </row>
    <row r="3" spans="1:20" x14ac:dyDescent="0.2">
      <c r="B3" s="12"/>
      <c r="C3" s="2573">
        <v>2014</v>
      </c>
      <c r="D3" s="2573"/>
      <c r="E3" s="295">
        <v>2015</v>
      </c>
      <c r="F3" s="295">
        <v>2016</v>
      </c>
      <c r="G3" s="295">
        <v>2017</v>
      </c>
      <c r="H3" s="295">
        <v>2018</v>
      </c>
      <c r="I3" s="295">
        <v>2019</v>
      </c>
      <c r="J3" s="295">
        <v>2020</v>
      </c>
      <c r="K3" s="295">
        <v>2021</v>
      </c>
      <c r="L3" s="2446" t="s">
        <v>481</v>
      </c>
      <c r="M3" s="2446"/>
      <c r="N3" s="2446"/>
      <c r="O3" s="1477" t="s">
        <v>519</v>
      </c>
    </row>
    <row r="4" spans="1:20" x14ac:dyDescent="0.2">
      <c r="B4" s="12"/>
      <c r="C4" s="53" t="s">
        <v>311</v>
      </c>
      <c r="D4" s="2575" t="s">
        <v>954</v>
      </c>
      <c r="E4" s="2575"/>
      <c r="F4" s="2575"/>
      <c r="G4" s="2575"/>
      <c r="H4" s="2575"/>
      <c r="I4" s="2575"/>
      <c r="J4" s="2575"/>
      <c r="K4" s="295"/>
      <c r="L4" s="295">
        <v>2022</v>
      </c>
      <c r="M4" s="295">
        <v>2023</v>
      </c>
      <c r="N4" s="295">
        <v>2024</v>
      </c>
      <c r="O4" s="295">
        <v>2025</v>
      </c>
    </row>
    <row r="5" spans="1:20" x14ac:dyDescent="0.2">
      <c r="B5" s="54" t="s">
        <v>207</v>
      </c>
      <c r="C5" s="55"/>
      <c r="D5" s="734"/>
      <c r="E5" s="734">
        <v>-33.229999999999997</v>
      </c>
      <c r="F5" s="735"/>
      <c r="G5" s="735"/>
      <c r="H5" s="735"/>
      <c r="I5" s="735"/>
      <c r="J5" s="735"/>
      <c r="K5" s="735"/>
      <c r="L5" s="735"/>
      <c r="M5" s="735"/>
      <c r="N5" s="735"/>
      <c r="O5" s="735"/>
    </row>
    <row r="6" spans="1:20" x14ac:dyDescent="0.2">
      <c r="B6" s="54" t="s">
        <v>208</v>
      </c>
      <c r="C6" s="55"/>
      <c r="D6" s="865"/>
      <c r="E6" s="865">
        <v>-175</v>
      </c>
      <c r="F6" s="865"/>
      <c r="G6" s="865"/>
      <c r="H6" s="865"/>
      <c r="I6" s="865"/>
      <c r="J6" s="865"/>
      <c r="K6" s="865"/>
      <c r="L6" s="865"/>
      <c r="M6" s="865"/>
      <c r="N6" s="865"/>
      <c r="O6" s="865"/>
    </row>
    <row r="7" spans="1:20" x14ac:dyDescent="0.2">
      <c r="B7" s="54" t="s">
        <v>209</v>
      </c>
      <c r="C7" s="55">
        <v>346</v>
      </c>
      <c r="D7" s="865">
        <v>-95.97</v>
      </c>
      <c r="E7" s="865"/>
      <c r="F7" s="865"/>
      <c r="G7" s="865"/>
      <c r="H7" s="865"/>
      <c r="I7" s="865"/>
      <c r="J7" s="865"/>
      <c r="K7" s="865"/>
      <c r="L7" s="865"/>
      <c r="M7" s="865"/>
      <c r="N7" s="865"/>
      <c r="O7" s="865"/>
    </row>
    <row r="8" spans="1:20" x14ac:dyDescent="0.2">
      <c r="B8" s="12" t="s">
        <v>312</v>
      </c>
      <c r="C8" s="55"/>
      <c r="D8" s="865"/>
      <c r="E8" s="865"/>
      <c r="F8" s="865"/>
      <c r="G8" s="2574">
        <v>-40</v>
      </c>
      <c r="H8" s="865"/>
      <c r="I8" s="2574">
        <v>-94</v>
      </c>
      <c r="J8" s="708"/>
      <c r="K8" s="708"/>
      <c r="L8" s="708"/>
      <c r="M8" s="708"/>
      <c r="N8" s="708"/>
      <c r="O8" s="708"/>
    </row>
    <row r="9" spans="1:20" x14ac:dyDescent="0.2">
      <c r="B9" s="12" t="s">
        <v>315</v>
      </c>
      <c r="C9" s="55"/>
      <c r="D9" s="865"/>
      <c r="E9" s="865"/>
      <c r="F9" s="865"/>
      <c r="G9" s="2574"/>
      <c r="H9" s="865"/>
      <c r="I9" s="2574"/>
      <c r="J9" s="708"/>
      <c r="K9" s="708"/>
      <c r="L9" s="708"/>
      <c r="M9" s="708"/>
      <c r="N9" s="708"/>
      <c r="O9" s="708"/>
    </row>
    <row r="10" spans="1:20" x14ac:dyDescent="0.2">
      <c r="B10" s="54" t="s">
        <v>210</v>
      </c>
      <c r="C10" s="55">
        <v>317</v>
      </c>
      <c r="D10" s="865">
        <v>-69.95</v>
      </c>
      <c r="E10" s="865"/>
      <c r="F10" s="865"/>
      <c r="G10" s="865"/>
      <c r="H10" s="865"/>
      <c r="I10" s="865"/>
      <c r="J10" s="865"/>
      <c r="K10" s="865"/>
      <c r="L10" s="865"/>
      <c r="M10" s="865"/>
      <c r="N10" s="865"/>
      <c r="O10" s="865"/>
    </row>
    <row r="11" spans="1:20" x14ac:dyDescent="0.2">
      <c r="B11" s="12" t="s">
        <v>211</v>
      </c>
      <c r="C11" s="51">
        <v>319</v>
      </c>
      <c r="D11" s="865">
        <v>-212</v>
      </c>
      <c r="E11" s="865"/>
      <c r="F11" s="865">
        <v>-30</v>
      </c>
      <c r="G11" s="865"/>
      <c r="H11" s="865">
        <v>13</v>
      </c>
      <c r="I11" s="865"/>
      <c r="J11" s="865"/>
      <c r="K11" s="865"/>
      <c r="L11" s="865">
        <v>8</v>
      </c>
      <c r="M11" s="865"/>
      <c r="N11" s="865">
        <v>5</v>
      </c>
      <c r="O11" s="865"/>
    </row>
    <row r="12" spans="1:20" x14ac:dyDescent="0.2">
      <c r="B12" s="12" t="s">
        <v>310</v>
      </c>
      <c r="C12" s="51">
        <v>319</v>
      </c>
      <c r="D12" s="865">
        <v>27</v>
      </c>
      <c r="E12" s="865">
        <v>12</v>
      </c>
      <c r="F12" s="865">
        <v>142</v>
      </c>
      <c r="G12" s="865"/>
      <c r="H12" s="865"/>
      <c r="I12" s="865"/>
      <c r="J12" s="865"/>
      <c r="K12" s="865">
        <v>15</v>
      </c>
      <c r="L12" s="865"/>
      <c r="M12" s="865"/>
      <c r="N12" s="865"/>
      <c r="O12" s="865"/>
      <c r="Q12" s="2077"/>
    </row>
    <row r="13" spans="1:20" x14ac:dyDescent="0.2">
      <c r="B13" s="12" t="s">
        <v>591</v>
      </c>
      <c r="C13" s="51"/>
      <c r="D13" s="865"/>
      <c r="E13" s="865"/>
      <c r="F13" s="865"/>
      <c r="G13" s="865">
        <v>28</v>
      </c>
      <c r="H13" s="865"/>
      <c r="I13" s="865"/>
      <c r="J13" s="865"/>
      <c r="K13" s="865"/>
      <c r="L13" s="865"/>
      <c r="M13" s="865"/>
      <c r="N13" s="865"/>
      <c r="O13" s="865"/>
      <c r="Q13" s="2078"/>
    </row>
    <row r="14" spans="1:20" x14ac:dyDescent="0.2">
      <c r="B14" s="12" t="s">
        <v>682</v>
      </c>
      <c r="C14" s="51"/>
      <c r="D14" s="865"/>
      <c r="E14" s="865"/>
      <c r="F14" s="865"/>
      <c r="G14" s="865"/>
      <c r="H14" s="865">
        <v>-280</v>
      </c>
      <c r="I14" s="865"/>
      <c r="J14" s="865"/>
      <c r="K14" s="865"/>
      <c r="L14" s="865"/>
      <c r="M14" s="865"/>
      <c r="N14" s="865"/>
      <c r="O14" s="865"/>
      <c r="Q14" s="2077"/>
    </row>
    <row r="15" spans="1:20" x14ac:dyDescent="0.2">
      <c r="B15" s="12" t="s">
        <v>1059</v>
      </c>
      <c r="C15" s="51"/>
      <c r="D15" s="865"/>
      <c r="E15" s="865"/>
      <c r="F15" s="865"/>
      <c r="G15" s="865"/>
      <c r="H15" s="865">
        <v>-40</v>
      </c>
      <c r="I15" s="865">
        <v>-40</v>
      </c>
      <c r="J15" s="865">
        <v>-35</v>
      </c>
      <c r="K15" s="865">
        <v>-35</v>
      </c>
      <c r="L15" s="865">
        <v>-35</v>
      </c>
      <c r="M15" s="865"/>
      <c r="N15" s="865">
        <v>-35</v>
      </c>
      <c r="O15" s="865"/>
      <c r="Q15" s="1217">
        <v>45433</v>
      </c>
      <c r="R15" s="331" t="s">
        <v>1115</v>
      </c>
      <c r="S15" s="331" t="s">
        <v>1324</v>
      </c>
      <c r="T15" s="2079">
        <v>5</v>
      </c>
    </row>
    <row r="16" spans="1:20" x14ac:dyDescent="0.2">
      <c r="B16" s="330" t="s">
        <v>818</v>
      </c>
      <c r="C16" s="51"/>
      <c r="D16" s="865"/>
      <c r="E16" s="865"/>
      <c r="F16" s="865"/>
      <c r="G16" s="865"/>
      <c r="H16" s="865"/>
      <c r="I16" s="865">
        <v>-47</v>
      </c>
      <c r="J16" s="865"/>
      <c r="K16" s="865"/>
      <c r="L16" s="865"/>
      <c r="M16" s="865"/>
      <c r="N16" s="865"/>
      <c r="O16" s="865"/>
      <c r="Q16" s="1218">
        <v>45552</v>
      </c>
      <c r="R16" s="330" t="s">
        <v>1062</v>
      </c>
      <c r="S16" s="330" t="s">
        <v>1058</v>
      </c>
      <c r="T16" s="2080">
        <v>-35</v>
      </c>
    </row>
    <row r="17" spans="1:20" ht="16" thickBot="1" x14ac:dyDescent="0.25">
      <c r="B17" s="330" t="s">
        <v>876</v>
      </c>
      <c r="C17" s="51"/>
      <c r="D17" s="865"/>
      <c r="E17" s="865"/>
      <c r="F17" s="865"/>
      <c r="G17" s="865"/>
      <c r="H17" s="865"/>
      <c r="I17" s="865"/>
      <c r="J17" s="865">
        <v>-76</v>
      </c>
      <c r="K17" s="865"/>
      <c r="L17" s="865"/>
      <c r="M17" s="865"/>
      <c r="N17" s="865"/>
      <c r="O17" s="865"/>
      <c r="Q17" s="60"/>
      <c r="R17" s="60"/>
      <c r="S17" s="60"/>
      <c r="T17" s="2081">
        <f>SUM(T15:T16)</f>
        <v>-30</v>
      </c>
    </row>
    <row r="18" spans="1:20" ht="16" thickTop="1" x14ac:dyDescent="0.2">
      <c r="B18" s="12" t="s">
        <v>819</v>
      </c>
      <c r="C18" s="51"/>
      <c r="D18" s="865"/>
      <c r="E18" s="865"/>
      <c r="F18" s="865"/>
      <c r="G18" s="865"/>
      <c r="H18" s="865"/>
      <c r="I18" s="865">
        <v>-9.99</v>
      </c>
      <c r="J18" s="865"/>
      <c r="K18" s="865"/>
      <c r="L18" s="865"/>
      <c r="M18" s="865"/>
      <c r="N18" s="865"/>
      <c r="O18" s="865"/>
    </row>
    <row r="19" spans="1:20" x14ac:dyDescent="0.2">
      <c r="B19" s="12" t="s">
        <v>1063</v>
      </c>
      <c r="C19" s="51"/>
      <c r="D19" s="865"/>
      <c r="E19" s="865"/>
      <c r="F19" s="865"/>
      <c r="G19" s="865"/>
      <c r="H19" s="865"/>
      <c r="I19" s="865"/>
      <c r="J19" s="865"/>
      <c r="K19" s="865"/>
      <c r="L19" s="865">
        <v>-58.7</v>
      </c>
      <c r="M19" s="865"/>
      <c r="N19" s="865"/>
      <c r="O19" s="865"/>
    </row>
    <row r="20" spans="1:20" x14ac:dyDescent="0.2">
      <c r="B20" s="12" t="s">
        <v>1080</v>
      </c>
      <c r="C20" s="51"/>
      <c r="D20" s="865"/>
      <c r="E20" s="865"/>
      <c r="F20" s="865"/>
      <c r="G20" s="865"/>
      <c r="H20" s="865"/>
      <c r="I20" s="865"/>
      <c r="J20" s="865"/>
      <c r="K20" s="865"/>
      <c r="L20" s="865"/>
      <c r="M20" s="865"/>
      <c r="N20" s="865"/>
      <c r="O20" s="865"/>
    </row>
    <row r="21" spans="1:20" x14ac:dyDescent="0.2">
      <c r="B21" s="12"/>
      <c r="C21" s="51"/>
      <c r="D21" s="865"/>
      <c r="E21" s="865"/>
      <c r="F21" s="865"/>
      <c r="G21" s="865"/>
      <c r="H21" s="865"/>
      <c r="I21" s="865"/>
      <c r="J21" s="865"/>
      <c r="K21" s="865"/>
      <c r="L21" s="865"/>
      <c r="M21" s="865">
        <v>-30</v>
      </c>
      <c r="N21" s="865"/>
      <c r="O21" s="865"/>
    </row>
    <row r="22" spans="1:20" x14ac:dyDescent="0.2">
      <c r="B22" s="12"/>
      <c r="C22" s="51"/>
      <c r="D22" s="865"/>
      <c r="E22" s="865"/>
      <c r="F22" s="865"/>
      <c r="G22" s="865"/>
      <c r="H22" s="865"/>
      <c r="I22" s="865"/>
      <c r="J22" s="865"/>
      <c r="K22" s="865"/>
      <c r="L22" s="865"/>
      <c r="M22" s="865"/>
      <c r="N22" s="865"/>
      <c r="O22" s="865"/>
    </row>
    <row r="23" spans="1:20" x14ac:dyDescent="0.2">
      <c r="B23" s="12"/>
      <c r="C23" s="51"/>
      <c r="D23" s="865"/>
      <c r="E23" s="865"/>
      <c r="F23" s="865"/>
      <c r="G23" s="865"/>
      <c r="H23" s="865"/>
      <c r="I23" s="865"/>
      <c r="J23" s="865"/>
      <c r="K23" s="865"/>
      <c r="L23" s="865"/>
      <c r="M23" s="865"/>
      <c r="N23" s="865"/>
      <c r="O23" s="865"/>
    </row>
    <row r="24" spans="1:20" x14ac:dyDescent="0.2">
      <c r="B24" s="12"/>
      <c r="C24" s="51"/>
      <c r="D24" s="865"/>
      <c r="E24" s="865"/>
      <c r="F24" s="865"/>
      <c r="G24" s="865"/>
      <c r="H24" s="865"/>
      <c r="I24" s="865"/>
      <c r="J24" s="865"/>
      <c r="K24" s="865"/>
      <c r="L24" s="865"/>
      <c r="M24" s="865"/>
      <c r="N24" s="865"/>
      <c r="O24" s="865"/>
    </row>
    <row r="25" spans="1:20" x14ac:dyDescent="0.2">
      <c r="B25" s="12"/>
      <c r="C25" s="51"/>
      <c r="D25" s="865"/>
      <c r="E25" s="865"/>
      <c r="F25" s="865"/>
      <c r="G25" s="865"/>
      <c r="H25" s="865"/>
      <c r="I25" s="865"/>
      <c r="J25" s="865"/>
      <c r="K25" s="865"/>
      <c r="L25" s="865"/>
      <c r="M25" s="865"/>
      <c r="N25" s="865"/>
      <c r="O25" s="1599">
        <v>-50</v>
      </c>
    </row>
    <row r="26" spans="1:20" ht="16" thickBot="1" x14ac:dyDescent="0.25">
      <c r="B26" s="60"/>
      <c r="C26" s="61"/>
      <c r="D26" s="709">
        <f>SUM(D5:D25)</f>
        <v>-350.92</v>
      </c>
      <c r="E26" s="709">
        <f t="shared" ref="E26:N26" si="0">SUM(E5:E25)</f>
        <v>-196.23</v>
      </c>
      <c r="F26" s="709">
        <f t="shared" si="0"/>
        <v>112</v>
      </c>
      <c r="G26" s="709">
        <f t="shared" si="0"/>
        <v>-12</v>
      </c>
      <c r="H26" s="709">
        <f t="shared" si="0"/>
        <v>-307</v>
      </c>
      <c r="I26" s="709">
        <f t="shared" si="0"/>
        <v>-190.99</v>
      </c>
      <c r="J26" s="709">
        <f t="shared" si="0"/>
        <v>-111</v>
      </c>
      <c r="K26" s="709">
        <f t="shared" si="0"/>
        <v>-20</v>
      </c>
      <c r="L26" s="709">
        <f t="shared" si="0"/>
        <v>-85.7</v>
      </c>
      <c r="M26" s="1077">
        <f t="shared" si="0"/>
        <v>-30</v>
      </c>
      <c r="N26" s="1077">
        <f t="shared" si="0"/>
        <v>-30</v>
      </c>
      <c r="O26" s="971">
        <f>SUM(O5:O25)</f>
        <v>-50</v>
      </c>
    </row>
    <row r="27" spans="1:20" hidden="1" x14ac:dyDescent="0.2">
      <c r="B27" s="1602"/>
      <c r="C27" s="1603"/>
      <c r="D27" s="1604"/>
      <c r="E27" s="1604"/>
      <c r="F27" s="1604"/>
      <c r="G27" s="1605"/>
      <c r="H27" s="1605"/>
      <c r="I27" s="1605"/>
      <c r="J27" s="1605"/>
      <c r="K27" s="1605"/>
      <c r="L27" s="1605"/>
      <c r="M27" s="1605"/>
      <c r="N27" s="1605"/>
      <c r="O27" s="1605"/>
    </row>
    <row r="28" spans="1:20" ht="30" hidden="1" x14ac:dyDescent="0.2">
      <c r="A28" s="2">
        <v>1</v>
      </c>
      <c r="B28" s="12"/>
      <c r="C28" s="63" t="s">
        <v>316</v>
      </c>
      <c r="D28" s="312" t="s">
        <v>317</v>
      </c>
      <c r="E28" s="708"/>
      <c r="F28" s="708"/>
      <c r="G28" s="708"/>
      <c r="H28" s="708"/>
      <c r="I28" s="708"/>
      <c r="J28" s="708"/>
      <c r="K28" s="708"/>
      <c r="L28" s="708"/>
      <c r="M28" s="708"/>
      <c r="N28" s="708"/>
      <c r="O28" s="708"/>
    </row>
    <row r="29" spans="1:20" hidden="1" x14ac:dyDescent="0.2">
      <c r="A29" s="2">
        <v>2</v>
      </c>
      <c r="B29" s="58" t="s">
        <v>312</v>
      </c>
      <c r="C29" s="59">
        <v>1</v>
      </c>
      <c r="D29" s="64">
        <v>10</v>
      </c>
      <c r="E29" s="729"/>
      <c r="F29" s="729"/>
      <c r="G29" s="2571">
        <f>-D29*4</f>
        <v>-40</v>
      </c>
      <c r="H29" s="2571"/>
      <c r="I29" s="2571"/>
      <c r="J29" s="2571"/>
      <c r="K29" s="2571"/>
      <c r="L29" s="2571"/>
      <c r="M29" s="2571"/>
      <c r="N29" s="864"/>
      <c r="O29" s="2571"/>
    </row>
    <row r="30" spans="1:20" hidden="1" x14ac:dyDescent="0.2">
      <c r="A30" s="2">
        <v>3</v>
      </c>
      <c r="B30" s="12" t="s">
        <v>315</v>
      </c>
      <c r="C30" s="56">
        <v>5</v>
      </c>
      <c r="D30" s="65">
        <v>5</v>
      </c>
      <c r="E30" s="726"/>
      <c r="F30" s="726"/>
      <c r="G30" s="2572"/>
      <c r="H30" s="2572"/>
      <c r="I30" s="2572"/>
      <c r="J30" s="2572"/>
      <c r="K30" s="2572"/>
      <c r="L30" s="2572"/>
      <c r="M30" s="2572"/>
      <c r="N30" s="1253"/>
      <c r="O30" s="2572"/>
    </row>
    <row r="31" spans="1:20" hidden="1" x14ac:dyDescent="0.2">
      <c r="A31" s="2">
        <v>4</v>
      </c>
      <c r="B31" s="12" t="s">
        <v>591</v>
      </c>
      <c r="C31" s="56"/>
      <c r="D31" s="65"/>
      <c r="E31" s="726"/>
      <c r="F31" s="726"/>
      <c r="G31" s="708">
        <v>28</v>
      </c>
      <c r="H31" s="708"/>
      <c r="I31" s="708"/>
      <c r="J31" s="708"/>
      <c r="K31" s="708"/>
      <c r="L31" s="708"/>
      <c r="M31" s="708"/>
      <c r="N31" s="708"/>
      <c r="O31" s="708"/>
    </row>
    <row r="32" spans="1:20" hidden="1" x14ac:dyDescent="0.2">
      <c r="A32" s="2">
        <v>5</v>
      </c>
      <c r="B32" s="13" t="s">
        <v>313</v>
      </c>
      <c r="C32" s="56">
        <v>5</v>
      </c>
      <c r="D32" s="65"/>
      <c r="E32" s="726"/>
      <c r="F32" s="726"/>
      <c r="G32" s="708"/>
      <c r="H32" s="708"/>
      <c r="I32" s="708"/>
      <c r="J32" s="708"/>
      <c r="K32" s="708"/>
      <c r="L32" s="708"/>
      <c r="M32" s="708"/>
      <c r="N32" s="708"/>
      <c r="O32" s="708"/>
    </row>
    <row r="33" spans="2:15" hidden="1" x14ac:dyDescent="0.2">
      <c r="B33" s="13" t="s">
        <v>314</v>
      </c>
      <c r="C33" s="56">
        <v>4</v>
      </c>
      <c r="D33" s="65"/>
      <c r="E33" s="726"/>
      <c r="F33" s="726"/>
      <c r="G33" s="726"/>
      <c r="H33" s="726"/>
      <c r="I33" s="726"/>
      <c r="J33" s="726"/>
      <c r="K33" s="726"/>
      <c r="L33" s="726"/>
      <c r="M33" s="726"/>
      <c r="N33" s="726"/>
      <c r="O33" s="726"/>
    </row>
    <row r="34" spans="2:15" ht="16" hidden="1" thickBot="1" x14ac:dyDescent="0.25">
      <c r="B34" s="60"/>
      <c r="C34" s="61"/>
      <c r="D34" s="62"/>
      <c r="E34" s="733"/>
      <c r="F34" s="733">
        <f>SUM(F5:F33)</f>
        <v>224</v>
      </c>
      <c r="G34" s="733">
        <f>SUM(G5:G33)</f>
        <v>-36</v>
      </c>
      <c r="H34" s="733"/>
      <c r="I34" s="733"/>
      <c r="J34" s="733"/>
      <c r="K34" s="733"/>
      <c r="L34" s="733"/>
      <c r="M34" s="733"/>
      <c r="N34" s="733"/>
      <c r="O34" s="733"/>
    </row>
    <row r="35" spans="2:15" ht="16" thickTop="1" x14ac:dyDescent="0.2"/>
  </sheetData>
  <mergeCells count="15">
    <mergeCell ref="L29:L30"/>
    <mergeCell ref="L3:N3"/>
    <mergeCell ref="M29:M30"/>
    <mergeCell ref="B1:O1"/>
    <mergeCell ref="C3:D3"/>
    <mergeCell ref="G29:G30"/>
    <mergeCell ref="O29:O30"/>
    <mergeCell ref="G8:G9"/>
    <mergeCell ref="B2:O2"/>
    <mergeCell ref="H29:H30"/>
    <mergeCell ref="I8:I9"/>
    <mergeCell ref="I29:I30"/>
    <mergeCell ref="J29:J30"/>
    <mergeCell ref="K29:K30"/>
    <mergeCell ref="D4:J4"/>
  </mergeCells>
  <conditionalFormatting sqref="A1:B1">
    <cfRule type="cellIs" dxfId="29" priority="10" operator="equal">
      <formula>0</formula>
    </cfRule>
  </conditionalFormatting>
  <hyperlinks>
    <hyperlink ref="B1" location="Summary!A1" display="Summary!A1" xr:uid="{E456EF8F-2CEE-4745-B838-23B06CDE68EC}"/>
    <hyperlink ref="O26" location="Summary!T50" display="Summary!T50" xr:uid="{BCAB3B62-3F17-4BFE-A1BB-90DBB8FA68C1}"/>
  </hyperlinks>
  <printOptions horizontalCentered="1"/>
  <pageMargins left="0.70866141732283472" right="0"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rgb="FF00FF00"/>
    <pageSetUpPr fitToPage="1"/>
  </sheetPr>
  <dimension ref="A1:R110"/>
  <sheetViews>
    <sheetView zoomScaleNormal="100" zoomScaleSheetLayoutView="100" workbookViewId="0">
      <pane xSplit="10" ySplit="18" topLeftCell="K93"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3.5" style="2" customWidth="1"/>
    <col min="2" max="2" width="35.5" style="1345" customWidth="1"/>
    <col min="3" max="3" width="3" style="2" hidden="1" customWidth="1"/>
    <col min="4" max="6" width="9.5" style="2" hidden="1" customWidth="1"/>
    <col min="7" max="7" width="7.1640625" style="2" hidden="1" customWidth="1"/>
    <col min="8" max="9" width="5.6640625" style="2" hidden="1" customWidth="1"/>
    <col min="10" max="10" width="7.1640625" style="1927" hidden="1" customWidth="1"/>
    <col min="11" max="11" width="9.5" style="1927" hidden="1" customWidth="1"/>
    <col min="12" max="14" width="8.83203125" style="1927" hidden="1" customWidth="1"/>
    <col min="15" max="18" width="8.83203125" style="1927" customWidth="1"/>
    <col min="19" max="16384" width="8.83203125" style="2"/>
  </cols>
  <sheetData>
    <row r="1" spans="1:18" s="1683" customFormat="1" ht="24" x14ac:dyDescent="0.2">
      <c r="A1" s="2082"/>
      <c r="B1" s="2289" t="s">
        <v>725</v>
      </c>
      <c r="C1" s="2289"/>
      <c r="D1" s="2289"/>
      <c r="E1" s="2289"/>
      <c r="F1" s="2289"/>
      <c r="G1" s="2289"/>
      <c r="H1" s="2289"/>
      <c r="I1" s="2289"/>
      <c r="J1" s="2289"/>
      <c r="K1" s="2289"/>
      <c r="L1" s="2289"/>
      <c r="M1" s="2289"/>
      <c r="N1" s="2289"/>
      <c r="O1" s="2289"/>
      <c r="P1" s="2289"/>
      <c r="Q1" s="2289"/>
      <c r="R1" s="2289"/>
    </row>
    <row r="2" spans="1:18" ht="16" x14ac:dyDescent="0.2">
      <c r="A2" s="2083"/>
      <c r="B2" s="2577" t="s">
        <v>40</v>
      </c>
      <c r="C2" s="2577"/>
      <c r="D2" s="2577"/>
      <c r="E2" s="2577"/>
      <c r="F2" s="2577"/>
      <c r="G2" s="2577"/>
      <c r="H2" s="2577"/>
      <c r="I2" s="2577"/>
      <c r="J2" s="2577"/>
      <c r="K2" s="2577"/>
      <c r="L2" s="2577"/>
      <c r="M2" s="2577"/>
      <c r="N2" s="2577"/>
      <c r="O2" s="2577"/>
      <c r="P2" s="2577"/>
      <c r="Q2" s="2577"/>
      <c r="R2" s="2577"/>
    </row>
    <row r="3" spans="1:18" ht="16" x14ac:dyDescent="0.2">
      <c r="A3" s="2082"/>
      <c r="B3" s="470"/>
      <c r="C3" s="19"/>
      <c r="D3" s="8">
        <v>2014</v>
      </c>
      <c r="E3" s="8">
        <v>2015</v>
      </c>
      <c r="F3" s="8">
        <v>2016</v>
      </c>
      <c r="G3" s="2366" t="s">
        <v>157</v>
      </c>
      <c r="H3" s="2366"/>
      <c r="I3" s="2366">
        <v>2017</v>
      </c>
      <c r="J3" s="2366"/>
      <c r="K3" s="8">
        <v>2018</v>
      </c>
      <c r="L3" s="350">
        <v>2019</v>
      </c>
      <c r="M3" s="350">
        <v>2020</v>
      </c>
      <c r="N3" s="350">
        <v>2021</v>
      </c>
      <c r="O3" s="2579" t="s">
        <v>481</v>
      </c>
      <c r="P3" s="2579"/>
      <c r="Q3" s="2579"/>
      <c r="R3" s="1476" t="s">
        <v>519</v>
      </c>
    </row>
    <row r="4" spans="1:18" x14ac:dyDescent="0.2">
      <c r="A4" s="2083"/>
      <c r="B4" s="470"/>
      <c r="C4" s="19"/>
      <c r="D4" s="2576" t="s">
        <v>520</v>
      </c>
      <c r="E4" s="2576"/>
      <c r="F4" s="2576"/>
      <c r="G4" s="2576"/>
      <c r="H4" s="2576"/>
      <c r="I4" s="2576"/>
      <c r="J4" s="2576"/>
      <c r="K4" s="2576"/>
      <c r="L4" s="2576"/>
      <c r="M4" s="2576"/>
      <c r="N4" s="2576"/>
      <c r="O4" s="350">
        <v>2022</v>
      </c>
      <c r="P4" s="664">
        <v>2023</v>
      </c>
      <c r="Q4" s="664">
        <v>2024</v>
      </c>
      <c r="R4" s="350">
        <v>2025</v>
      </c>
    </row>
    <row r="5" spans="1:18" hidden="1" x14ac:dyDescent="0.2">
      <c r="A5" s="2082"/>
      <c r="B5" s="12" t="s">
        <v>592</v>
      </c>
      <c r="C5" s="2578"/>
      <c r="D5" s="49"/>
      <c r="E5" s="38"/>
      <c r="F5" s="471"/>
      <c r="G5" s="471"/>
      <c r="H5" s="2326"/>
      <c r="I5" s="472">
        <v>-21.56</v>
      </c>
      <c r="J5" s="2324">
        <f>SUM(I5:I16)</f>
        <v>-789.59999999999991</v>
      </c>
      <c r="K5" s="38"/>
      <c r="L5" s="38"/>
      <c r="M5" s="38"/>
      <c r="N5" s="38"/>
      <c r="O5" s="38"/>
      <c r="P5" s="37"/>
      <c r="Q5" s="37"/>
      <c r="R5" s="38"/>
    </row>
    <row r="6" spans="1:18" hidden="1" x14ac:dyDescent="0.2">
      <c r="A6" s="2083"/>
      <c r="B6" s="12" t="s">
        <v>474</v>
      </c>
      <c r="C6" s="2578"/>
      <c r="D6" s="49"/>
      <c r="E6" s="38"/>
      <c r="F6" s="471"/>
      <c r="G6" s="471"/>
      <c r="H6" s="2326"/>
      <c r="I6" s="472">
        <v>-51.96</v>
      </c>
      <c r="J6" s="2324"/>
      <c r="K6" s="38"/>
      <c r="L6" s="38"/>
      <c r="M6" s="38"/>
      <c r="N6" s="38"/>
      <c r="O6" s="38"/>
      <c r="P6" s="37"/>
      <c r="Q6" s="37"/>
      <c r="R6" s="38"/>
    </row>
    <row r="7" spans="1:18" hidden="1" x14ac:dyDescent="0.2">
      <c r="A7" s="2082"/>
      <c r="B7" s="473" t="s">
        <v>600</v>
      </c>
      <c r="C7" s="2578"/>
      <c r="D7" s="49"/>
      <c r="E7" s="38"/>
      <c r="F7" s="471"/>
      <c r="G7" s="471"/>
      <c r="H7" s="2326"/>
      <c r="I7" s="474">
        <v>-162.82</v>
      </c>
      <c r="J7" s="2324"/>
      <c r="K7" s="38"/>
      <c r="L7" s="38"/>
      <c r="M7" s="38"/>
      <c r="N7" s="38"/>
      <c r="O7" s="38"/>
      <c r="P7" s="37"/>
      <c r="Q7" s="37"/>
      <c r="R7" s="38"/>
    </row>
    <row r="8" spans="1:18" hidden="1" x14ac:dyDescent="0.2">
      <c r="A8" s="2083"/>
      <c r="B8" s="473" t="s">
        <v>600</v>
      </c>
      <c r="C8" s="2578"/>
      <c r="D8" s="49"/>
      <c r="E8" s="38"/>
      <c r="F8" s="471"/>
      <c r="G8" s="471"/>
      <c r="H8" s="2326"/>
      <c r="I8" s="472">
        <v>-80.75</v>
      </c>
      <c r="J8" s="2324"/>
      <c r="K8" s="38"/>
      <c r="L8" s="38"/>
      <c r="M8" s="38"/>
      <c r="N8" s="38"/>
      <c r="O8" s="38"/>
      <c r="P8" s="37"/>
      <c r="Q8" s="37"/>
      <c r="R8" s="38"/>
    </row>
    <row r="9" spans="1:18" hidden="1" x14ac:dyDescent="0.2">
      <c r="A9" s="2082"/>
      <c r="B9" s="48" t="s">
        <v>214</v>
      </c>
      <c r="C9" s="2578"/>
      <c r="D9" s="49">
        <v>-750</v>
      </c>
      <c r="E9" s="471"/>
      <c r="F9" s="38"/>
      <c r="G9" s="38">
        <v>-250</v>
      </c>
      <c r="H9" s="2326"/>
      <c r="I9" s="38"/>
      <c r="J9" s="2324"/>
      <c r="K9" s="38"/>
      <c r="L9" s="38"/>
      <c r="M9" s="38"/>
      <c r="N9" s="38"/>
      <c r="O9" s="38"/>
      <c r="P9" s="37"/>
      <c r="Q9" s="37"/>
      <c r="R9" s="38"/>
    </row>
    <row r="10" spans="1:18" hidden="1" x14ac:dyDescent="0.2">
      <c r="A10" s="2083"/>
      <c r="B10" s="48" t="s">
        <v>476</v>
      </c>
      <c r="C10" s="2578"/>
      <c r="D10" s="49"/>
      <c r="E10" s="471"/>
      <c r="F10" s="38"/>
      <c r="G10" s="37">
        <v>-50</v>
      </c>
      <c r="H10" s="2326"/>
      <c r="I10" s="38"/>
      <c r="J10" s="2324"/>
      <c r="K10" s="38"/>
      <c r="L10" s="38"/>
      <c r="M10" s="38"/>
      <c r="N10" s="38"/>
      <c r="O10" s="38"/>
      <c r="P10" s="37"/>
      <c r="Q10" s="37"/>
      <c r="R10" s="38"/>
    </row>
    <row r="11" spans="1:18" hidden="1" x14ac:dyDescent="0.2">
      <c r="A11" s="2082"/>
      <c r="B11" s="50" t="s">
        <v>689</v>
      </c>
      <c r="C11" s="2578"/>
      <c r="D11" s="49"/>
      <c r="E11" s="38"/>
      <c r="F11" s="471"/>
      <c r="G11" s="471">
        <v>-225</v>
      </c>
      <c r="H11" s="2326"/>
      <c r="I11" s="38"/>
      <c r="J11" s="2324"/>
      <c r="K11" s="38"/>
      <c r="L11" s="38"/>
      <c r="M11" s="38"/>
      <c r="N11" s="38"/>
      <c r="O11" s="38"/>
      <c r="P11" s="37"/>
      <c r="Q11" s="37"/>
      <c r="R11" s="38"/>
    </row>
    <row r="12" spans="1:18" hidden="1" x14ac:dyDescent="0.2">
      <c r="A12" s="2083"/>
      <c r="B12" s="12" t="s">
        <v>601</v>
      </c>
      <c r="C12" s="2578"/>
      <c r="D12" s="49"/>
      <c r="E12" s="38"/>
      <c r="F12" s="471"/>
      <c r="G12" s="471"/>
      <c r="H12" s="2326"/>
      <c r="I12" s="474">
        <v>-40.56</v>
      </c>
      <c r="J12" s="2324"/>
      <c r="K12" s="38"/>
      <c r="L12" s="38"/>
      <c r="M12" s="38"/>
      <c r="N12" s="38"/>
      <c r="O12" s="38"/>
      <c r="P12" s="37"/>
      <c r="Q12" s="37"/>
      <c r="R12" s="38"/>
    </row>
    <row r="13" spans="1:18" hidden="1" x14ac:dyDescent="0.2">
      <c r="A13" s="2082"/>
      <c r="B13" s="50" t="s">
        <v>477</v>
      </c>
      <c r="C13" s="2578"/>
      <c r="D13" s="49"/>
      <c r="E13" s="38"/>
      <c r="F13" s="471"/>
      <c r="G13" s="471">
        <v>-16</v>
      </c>
      <c r="H13" s="2326"/>
      <c r="I13" s="38"/>
      <c r="J13" s="2324"/>
      <c r="K13" s="38"/>
      <c r="L13" s="38"/>
      <c r="M13" s="38"/>
      <c r="N13" s="38"/>
      <c r="O13" s="38"/>
      <c r="P13" s="37"/>
      <c r="Q13" s="37"/>
      <c r="R13" s="38"/>
    </row>
    <row r="14" spans="1:18" hidden="1" x14ac:dyDescent="0.2">
      <c r="A14" s="2083"/>
      <c r="B14" s="48" t="s">
        <v>216</v>
      </c>
      <c r="C14" s="2578"/>
      <c r="D14" s="49">
        <v>-380</v>
      </c>
      <c r="E14" s="471"/>
      <c r="F14" s="38"/>
      <c r="G14" s="37">
        <v>-220</v>
      </c>
      <c r="H14" s="2326"/>
      <c r="I14" s="38"/>
      <c r="J14" s="2324"/>
      <c r="K14" s="38"/>
      <c r="L14" s="38"/>
      <c r="M14" s="38"/>
      <c r="N14" s="38"/>
      <c r="O14" s="38"/>
      <c r="P14" s="37"/>
      <c r="Q14" s="37"/>
      <c r="R14" s="38"/>
    </row>
    <row r="15" spans="1:18" hidden="1" x14ac:dyDescent="0.2">
      <c r="A15" s="2082"/>
      <c r="B15" s="473" t="s">
        <v>473</v>
      </c>
      <c r="C15" s="2578"/>
      <c r="D15" s="49"/>
      <c r="E15" s="38"/>
      <c r="F15" s="471"/>
      <c r="G15" s="471"/>
      <c r="H15" s="2326"/>
      <c r="I15" s="472">
        <v>-217.19</v>
      </c>
      <c r="J15" s="2324"/>
      <c r="K15" s="38"/>
      <c r="L15" s="38"/>
      <c r="M15" s="38"/>
      <c r="N15" s="38"/>
      <c r="O15" s="38"/>
      <c r="P15" s="37"/>
      <c r="Q15" s="37"/>
      <c r="R15" s="38"/>
    </row>
    <row r="16" spans="1:18" hidden="1" x14ac:dyDescent="0.2">
      <c r="A16" s="2083"/>
      <c r="B16" s="473" t="s">
        <v>475</v>
      </c>
      <c r="C16" s="2578"/>
      <c r="D16" s="49"/>
      <c r="E16" s="38"/>
      <c r="F16" s="471"/>
      <c r="G16" s="471"/>
      <c r="H16" s="2326"/>
      <c r="I16" s="474">
        <v>-214.76</v>
      </c>
      <c r="J16" s="2324"/>
      <c r="K16" s="38"/>
      <c r="L16" s="38"/>
      <c r="M16" s="38"/>
      <c r="N16" s="38"/>
      <c r="O16" s="38"/>
      <c r="P16" s="37"/>
      <c r="Q16" s="37"/>
      <c r="R16" s="38"/>
    </row>
    <row r="17" spans="1:18" ht="16" hidden="1" x14ac:dyDescent="0.2">
      <c r="A17" s="2082"/>
      <c r="B17" s="102" t="s">
        <v>226</v>
      </c>
      <c r="C17" s="335"/>
      <c r="D17" s="49">
        <v>-17.649999999999999</v>
      </c>
      <c r="E17" s="471">
        <v>-324.79000000000002</v>
      </c>
      <c r="F17" s="38"/>
      <c r="G17" s="38">
        <v>-370</v>
      </c>
      <c r="H17" s="38">
        <v>-370</v>
      </c>
      <c r="I17" s="38"/>
      <c r="J17" s="22"/>
      <c r="K17" s="38"/>
      <c r="L17" s="38"/>
      <c r="M17" s="38"/>
      <c r="N17" s="38"/>
      <c r="O17" s="38"/>
      <c r="P17" s="37"/>
      <c r="Q17" s="37"/>
      <c r="R17" s="38"/>
    </row>
    <row r="18" spans="1:18" ht="28" hidden="1" x14ac:dyDescent="0.2">
      <c r="A18" s="2083"/>
      <c r="B18" s="50" t="s">
        <v>396</v>
      </c>
      <c r="C18" s="50"/>
      <c r="D18" s="49">
        <v>-45.94</v>
      </c>
      <c r="E18" s="38"/>
      <c r="F18" s="471"/>
      <c r="G18" s="471">
        <v>-100</v>
      </c>
      <c r="H18" s="471">
        <v>-100</v>
      </c>
      <c r="I18" s="471"/>
      <c r="J18" s="475"/>
      <c r="K18" s="38"/>
      <c r="L18" s="38"/>
      <c r="M18" s="38"/>
      <c r="N18" s="38"/>
      <c r="O18" s="38"/>
      <c r="P18" s="37"/>
      <c r="Q18" s="37"/>
      <c r="R18" s="38"/>
    </row>
    <row r="19" spans="1:18" ht="16" hidden="1" x14ac:dyDescent="0.2">
      <c r="A19" s="2084"/>
      <c r="B19" s="33" t="s">
        <v>831</v>
      </c>
      <c r="C19" s="48"/>
      <c r="D19" s="49">
        <v>-146</v>
      </c>
      <c r="E19" s="471"/>
      <c r="F19" s="37"/>
      <c r="G19" s="37"/>
      <c r="H19" s="37"/>
      <c r="I19" s="37"/>
      <c r="J19" s="703"/>
      <c r="K19" s="935"/>
      <c r="L19" s="735">
        <v>-354.96</v>
      </c>
      <c r="M19" s="911"/>
      <c r="N19" s="911"/>
      <c r="O19" s="911"/>
      <c r="P19" s="935"/>
      <c r="Q19" s="935"/>
      <c r="R19" s="935"/>
    </row>
    <row r="20" spans="1:18" ht="32" hidden="1" x14ac:dyDescent="0.2">
      <c r="A20" s="2083"/>
      <c r="B20" s="33" t="s">
        <v>687</v>
      </c>
      <c r="C20" s="12"/>
      <c r="D20" s="12"/>
      <c r="E20" s="12"/>
      <c r="F20" s="12"/>
      <c r="G20" s="12"/>
      <c r="H20" s="302"/>
      <c r="I20" s="302"/>
      <c r="J20" s="303"/>
      <c r="K20" s="735">
        <v>-450</v>
      </c>
      <c r="L20" s="735">
        <v>-67.260000000000005</v>
      </c>
      <c r="M20" s="911"/>
      <c r="N20" s="911"/>
      <c r="O20" s="911"/>
      <c r="P20" s="935"/>
      <c r="Q20" s="935"/>
      <c r="R20" s="935"/>
    </row>
    <row r="21" spans="1:18" ht="14.5" hidden="1" customHeight="1" x14ac:dyDescent="0.2">
      <c r="A21" s="2082"/>
      <c r="B21" s="50" t="s">
        <v>218</v>
      </c>
      <c r="C21" s="50"/>
      <c r="D21" s="49">
        <v>-71.97</v>
      </c>
      <c r="E21" s="37"/>
      <c r="F21" s="471"/>
      <c r="G21" s="471">
        <v>-50</v>
      </c>
      <c r="H21" s="471">
        <v>-50</v>
      </c>
      <c r="I21" s="471"/>
      <c r="J21" s="475"/>
      <c r="K21" s="935"/>
      <c r="L21" s="935"/>
      <c r="M21" s="911"/>
      <c r="N21" s="911"/>
      <c r="O21" s="911"/>
      <c r="P21" s="935"/>
      <c r="Q21" s="935"/>
      <c r="R21" s="935"/>
    </row>
    <row r="22" spans="1:18" ht="14.5" hidden="1" customHeight="1" x14ac:dyDescent="0.2">
      <c r="A22" s="2083"/>
      <c r="B22" s="473" t="s">
        <v>593</v>
      </c>
      <c r="C22" s="50"/>
      <c r="D22" s="49"/>
      <c r="E22" s="37"/>
      <c r="F22" s="471"/>
      <c r="G22" s="471"/>
      <c r="H22" s="471"/>
      <c r="I22" s="472"/>
      <c r="J22" s="476">
        <v>-7.69</v>
      </c>
      <c r="K22" s="935"/>
      <c r="L22" s="935"/>
      <c r="M22" s="911"/>
      <c r="N22" s="911"/>
      <c r="O22" s="911"/>
      <c r="P22" s="935"/>
      <c r="Q22" s="935"/>
      <c r="R22" s="935"/>
    </row>
    <row r="23" spans="1:18" ht="14.5" hidden="1" customHeight="1" x14ac:dyDescent="0.2">
      <c r="A23" s="2082"/>
      <c r="B23" s="12" t="s">
        <v>594</v>
      </c>
      <c r="C23" s="50"/>
      <c r="D23" s="49"/>
      <c r="E23" s="37"/>
      <c r="F23" s="471"/>
      <c r="G23" s="471"/>
      <c r="H23" s="471"/>
      <c r="I23" s="472"/>
      <c r="J23" s="476">
        <v>-12.58</v>
      </c>
      <c r="K23" s="935"/>
      <c r="L23" s="935"/>
      <c r="M23" s="911"/>
      <c r="N23" s="911"/>
      <c r="O23" s="911"/>
      <c r="P23" s="935"/>
      <c r="Q23" s="935"/>
      <c r="R23" s="935"/>
    </row>
    <row r="24" spans="1:18" ht="14.5" hidden="1" customHeight="1" x14ac:dyDescent="0.2">
      <c r="A24" s="2083"/>
      <c r="B24" s="473" t="s">
        <v>595</v>
      </c>
      <c r="C24" s="50"/>
      <c r="D24" s="49"/>
      <c r="E24" s="37"/>
      <c r="F24" s="471"/>
      <c r="G24" s="471"/>
      <c r="H24" s="471"/>
      <c r="I24" s="472"/>
      <c r="J24" s="476">
        <v>-46.8</v>
      </c>
      <c r="K24" s="935"/>
      <c r="L24" s="935"/>
      <c r="M24" s="911"/>
      <c r="N24" s="911"/>
      <c r="O24" s="911"/>
      <c r="P24" s="935"/>
      <c r="Q24" s="935"/>
      <c r="R24" s="935"/>
    </row>
    <row r="25" spans="1:18" ht="14.5" hidden="1" customHeight="1" x14ac:dyDescent="0.2">
      <c r="A25" s="2082"/>
      <c r="B25" s="473" t="s">
        <v>596</v>
      </c>
      <c r="C25" s="50"/>
      <c r="D25" s="49"/>
      <c r="E25" s="37"/>
      <c r="F25" s="471"/>
      <c r="G25" s="471"/>
      <c r="H25" s="471"/>
      <c r="I25" s="472"/>
      <c r="J25" s="476">
        <v>-5.16</v>
      </c>
      <c r="K25" s="935"/>
      <c r="L25" s="935"/>
      <c r="M25" s="911"/>
      <c r="N25" s="911"/>
      <c r="O25" s="911"/>
      <c r="P25" s="935"/>
      <c r="Q25" s="935"/>
      <c r="R25" s="935"/>
    </row>
    <row r="26" spans="1:18" ht="14.5" hidden="1" customHeight="1" x14ac:dyDescent="0.2">
      <c r="A26" s="2083"/>
      <c r="B26" s="12" t="s">
        <v>597</v>
      </c>
      <c r="C26" s="50"/>
      <c r="D26" s="49"/>
      <c r="E26" s="37"/>
      <c r="F26" s="471"/>
      <c r="G26" s="471"/>
      <c r="H26" s="471"/>
      <c r="I26" s="472"/>
      <c r="J26" s="476">
        <v>-2.83</v>
      </c>
      <c r="K26" s="935"/>
      <c r="L26" s="935"/>
      <c r="M26" s="911"/>
      <c r="N26" s="911"/>
      <c r="O26" s="911"/>
      <c r="P26" s="935"/>
      <c r="Q26" s="935"/>
      <c r="R26" s="935"/>
    </row>
    <row r="27" spans="1:18" ht="14.5" hidden="1" customHeight="1" x14ac:dyDescent="0.2">
      <c r="A27" s="2082"/>
      <c r="B27" s="473" t="s">
        <v>598</v>
      </c>
      <c r="C27" s="50"/>
      <c r="D27" s="49"/>
      <c r="E27" s="37"/>
      <c r="F27" s="471"/>
      <c r="G27" s="471"/>
      <c r="H27" s="471"/>
      <c r="I27" s="472"/>
      <c r="J27" s="476">
        <v>-7.99</v>
      </c>
      <c r="K27" s="935"/>
      <c r="L27" s="935"/>
      <c r="M27" s="911"/>
      <c r="N27" s="911"/>
      <c r="O27" s="911"/>
      <c r="P27" s="935"/>
      <c r="Q27" s="935"/>
      <c r="R27" s="935"/>
    </row>
    <row r="28" spans="1:18" ht="14.5" hidden="1" customHeight="1" x14ac:dyDescent="0.2">
      <c r="A28" s="2083"/>
      <c r="B28" s="12" t="s">
        <v>599</v>
      </c>
      <c r="C28" s="50"/>
      <c r="D28" s="49"/>
      <c r="E28" s="37"/>
      <c r="F28" s="471"/>
      <c r="G28" s="471"/>
      <c r="H28" s="471"/>
      <c r="I28" s="472"/>
      <c r="J28" s="476">
        <v>-61.92</v>
      </c>
      <c r="K28" s="935"/>
      <c r="L28" s="935"/>
      <c r="M28" s="911"/>
      <c r="N28" s="911"/>
      <c r="O28" s="911"/>
      <c r="P28" s="935"/>
      <c r="Q28" s="935"/>
      <c r="R28" s="935"/>
    </row>
    <row r="29" spans="1:18" ht="14.5" hidden="1" customHeight="1" x14ac:dyDescent="0.2">
      <c r="A29" s="2082"/>
      <c r="B29" s="12" t="s">
        <v>602</v>
      </c>
      <c r="C29" s="50"/>
      <c r="D29" s="49"/>
      <c r="E29" s="37"/>
      <c r="F29" s="471"/>
      <c r="G29" s="471"/>
      <c r="H29" s="471"/>
      <c r="I29" s="472"/>
      <c r="J29" s="476">
        <v>-74.989999999999995</v>
      </c>
      <c r="K29" s="935"/>
      <c r="L29" s="935"/>
      <c r="M29" s="911"/>
      <c r="N29" s="911"/>
      <c r="O29" s="911"/>
      <c r="P29" s="935"/>
      <c r="Q29" s="935"/>
      <c r="R29" s="935"/>
    </row>
    <row r="30" spans="1:18" ht="14.5" hidden="1" customHeight="1" x14ac:dyDescent="0.2">
      <c r="A30" s="2083"/>
      <c r="B30" s="309" t="s">
        <v>603</v>
      </c>
      <c r="C30" s="50"/>
      <c r="D30" s="49"/>
      <c r="E30" s="37"/>
      <c r="F30" s="471"/>
      <c r="G30" s="471"/>
      <c r="H30" s="471"/>
      <c r="I30" s="472"/>
      <c r="J30" s="476">
        <v>-8.26</v>
      </c>
      <c r="K30" s="935"/>
      <c r="L30" s="935"/>
      <c r="M30" s="911"/>
      <c r="N30" s="911"/>
      <c r="O30" s="911"/>
      <c r="P30" s="935"/>
      <c r="Q30" s="935"/>
      <c r="R30" s="935"/>
    </row>
    <row r="31" spans="1:18" ht="14.5" hidden="1" customHeight="1" x14ac:dyDescent="0.2">
      <c r="A31" s="2082"/>
      <c r="B31" s="50" t="s">
        <v>478</v>
      </c>
      <c r="C31" s="50"/>
      <c r="D31" s="49"/>
      <c r="E31" s="37"/>
      <c r="F31" s="471"/>
      <c r="G31" s="471">
        <v>0</v>
      </c>
      <c r="H31" s="471"/>
      <c r="I31" s="37"/>
      <c r="J31" s="476"/>
      <c r="K31" s="935"/>
      <c r="L31" s="935"/>
      <c r="M31" s="911"/>
      <c r="N31" s="911"/>
      <c r="O31" s="911"/>
      <c r="P31" s="935"/>
      <c r="Q31" s="935"/>
      <c r="R31" s="935"/>
    </row>
    <row r="32" spans="1:18" ht="14.5" hidden="1" customHeight="1" x14ac:dyDescent="0.2">
      <c r="A32" s="2083"/>
      <c r="B32" s="33" t="s">
        <v>230</v>
      </c>
      <c r="C32" s="12"/>
      <c r="D32" s="37"/>
      <c r="E32" s="37"/>
      <c r="F32" s="471">
        <v>-32.94</v>
      </c>
      <c r="G32" s="471"/>
      <c r="H32" s="471"/>
      <c r="I32" s="471"/>
      <c r="J32" s="475"/>
      <c r="K32" s="935"/>
      <c r="L32" s="935"/>
      <c r="M32" s="911"/>
      <c r="N32" s="911"/>
      <c r="O32" s="911"/>
      <c r="P32" s="935"/>
      <c r="Q32" s="935"/>
      <c r="R32" s="935"/>
    </row>
    <row r="33" spans="1:18" ht="14.5" hidden="1" customHeight="1" x14ac:dyDescent="0.2">
      <c r="A33" s="2082"/>
      <c r="B33" s="50" t="s">
        <v>219</v>
      </c>
      <c r="C33" s="50"/>
      <c r="D33" s="49">
        <v>-24.96</v>
      </c>
      <c r="E33" s="37"/>
      <c r="F33" s="471"/>
      <c r="G33" s="471"/>
      <c r="H33" s="471"/>
      <c r="I33" s="471"/>
      <c r="J33" s="475"/>
      <c r="K33" s="935"/>
      <c r="L33" s="935"/>
      <c r="M33" s="911"/>
      <c r="N33" s="911"/>
      <c r="O33" s="911"/>
      <c r="P33" s="935"/>
      <c r="Q33" s="935"/>
      <c r="R33" s="935"/>
    </row>
    <row r="34" spans="1:18" ht="14.5" hidden="1" customHeight="1" x14ac:dyDescent="0.2">
      <c r="A34" s="2083"/>
      <c r="B34" s="33" t="s">
        <v>229</v>
      </c>
      <c r="C34" s="12"/>
      <c r="D34" s="37"/>
      <c r="E34" s="37"/>
      <c r="F34" s="471">
        <v>-185.43</v>
      </c>
      <c r="G34" s="471"/>
      <c r="H34" s="471"/>
      <c r="I34" s="471"/>
      <c r="J34" s="475"/>
      <c r="K34" s="935"/>
      <c r="L34" s="935"/>
      <c r="M34" s="911"/>
      <c r="N34" s="911"/>
      <c r="O34" s="911"/>
      <c r="P34" s="935"/>
      <c r="Q34" s="935"/>
      <c r="R34" s="935"/>
    </row>
    <row r="35" spans="1:18" ht="14.5" hidden="1" customHeight="1" x14ac:dyDescent="0.2">
      <c r="A35" s="2082"/>
      <c r="B35" s="102" t="s">
        <v>224</v>
      </c>
      <c r="C35" s="335"/>
      <c r="D35" s="479"/>
      <c r="E35" s="471">
        <v>-331.12</v>
      </c>
      <c r="F35" s="37"/>
      <c r="G35" s="37"/>
      <c r="H35" s="37"/>
      <c r="I35" s="37"/>
      <c r="J35" s="703"/>
      <c r="K35" s="935"/>
      <c r="L35" s="935"/>
      <c r="M35" s="911"/>
      <c r="N35" s="911"/>
      <c r="O35" s="911"/>
      <c r="P35" s="935"/>
      <c r="Q35" s="935"/>
      <c r="R35" s="935"/>
    </row>
    <row r="36" spans="1:18" ht="14.5" hidden="1" customHeight="1" x14ac:dyDescent="0.2">
      <c r="A36" s="2083"/>
      <c r="B36" s="102" t="s">
        <v>225</v>
      </c>
      <c r="C36" s="335"/>
      <c r="D36" s="479"/>
      <c r="E36" s="471">
        <v>-18</v>
      </c>
      <c r="F36" s="37"/>
      <c r="G36" s="37"/>
      <c r="H36" s="37"/>
      <c r="I36" s="37"/>
      <c r="J36" s="703"/>
      <c r="K36" s="935"/>
      <c r="L36" s="935"/>
      <c r="M36" s="911"/>
      <c r="N36" s="911"/>
      <c r="O36" s="911"/>
      <c r="P36" s="935"/>
      <c r="Q36" s="935"/>
      <c r="R36" s="935"/>
    </row>
    <row r="37" spans="1:18" ht="26.5" hidden="1" customHeight="1" x14ac:dyDescent="0.2">
      <c r="A37" s="2082"/>
      <c r="B37" s="50" t="s">
        <v>220</v>
      </c>
      <c r="C37" s="50"/>
      <c r="D37" s="49">
        <v>-241.9</v>
      </c>
      <c r="E37" s="471"/>
      <c r="F37" s="37">
        <v>-6</v>
      </c>
      <c r="G37" s="37"/>
      <c r="H37" s="37"/>
      <c r="I37" s="37"/>
      <c r="J37" s="703"/>
      <c r="K37" s="935"/>
      <c r="L37" s="935"/>
      <c r="M37" s="911"/>
      <c r="N37" s="911"/>
      <c r="O37" s="911"/>
      <c r="P37" s="935"/>
      <c r="Q37" s="935"/>
      <c r="R37" s="935"/>
    </row>
    <row r="38" spans="1:18" ht="14.5" hidden="1" customHeight="1" x14ac:dyDescent="0.2">
      <c r="A38" s="2083"/>
      <c r="B38" s="477" t="s">
        <v>227</v>
      </c>
      <c r="C38" s="339"/>
      <c r="D38" s="478"/>
      <c r="E38" s="471">
        <v>66</v>
      </c>
      <c r="F38" s="37"/>
      <c r="G38" s="37"/>
      <c r="H38" s="37"/>
      <c r="I38" s="37"/>
      <c r="J38" s="703"/>
      <c r="K38" s="935"/>
      <c r="L38" s="935"/>
      <c r="M38" s="911"/>
      <c r="N38" s="911"/>
      <c r="O38" s="911"/>
      <c r="P38" s="935"/>
      <c r="Q38" s="935"/>
      <c r="R38" s="935"/>
    </row>
    <row r="39" spans="1:18" ht="14.5" hidden="1" customHeight="1" x14ac:dyDescent="0.2">
      <c r="A39" s="2082"/>
      <c r="B39" s="48" t="s">
        <v>215</v>
      </c>
      <c r="C39" s="48"/>
      <c r="D39" s="49">
        <v>-1250</v>
      </c>
      <c r="E39" s="471"/>
      <c r="F39" s="37"/>
      <c r="G39" s="37"/>
      <c r="H39" s="37"/>
      <c r="I39" s="37"/>
      <c r="J39" s="703"/>
      <c r="K39" s="935"/>
      <c r="L39" s="935"/>
      <c r="M39" s="911"/>
      <c r="N39" s="911"/>
      <c r="O39" s="911"/>
      <c r="P39" s="935"/>
      <c r="Q39" s="935"/>
      <c r="R39" s="935"/>
    </row>
    <row r="40" spans="1:18" ht="14.5" hidden="1" customHeight="1" x14ac:dyDescent="0.2">
      <c r="A40" s="2083"/>
      <c r="B40" s="33" t="s">
        <v>235</v>
      </c>
      <c r="C40" s="12"/>
      <c r="D40" s="37"/>
      <c r="E40" s="37"/>
      <c r="F40" s="54">
        <v>-228.89</v>
      </c>
      <c r="G40" s="54"/>
      <c r="H40" s="54"/>
      <c r="I40" s="54"/>
      <c r="J40" s="310"/>
      <c r="K40" s="935"/>
      <c r="L40" s="935"/>
      <c r="M40" s="911"/>
      <c r="N40" s="911"/>
      <c r="O40" s="911"/>
      <c r="P40" s="935"/>
      <c r="Q40" s="935"/>
      <c r="R40" s="935"/>
    </row>
    <row r="41" spans="1:18" ht="14.5" hidden="1" customHeight="1" x14ac:dyDescent="0.2">
      <c r="A41" s="2082"/>
      <c r="B41" s="33" t="s">
        <v>234</v>
      </c>
      <c r="C41" s="12"/>
      <c r="D41" s="37"/>
      <c r="E41" s="37"/>
      <c r="F41" s="54">
        <v>-98.87</v>
      </c>
      <c r="G41" s="54"/>
      <c r="H41" s="54"/>
      <c r="I41" s="54"/>
      <c r="J41" s="310"/>
      <c r="K41" s="935"/>
      <c r="L41" s="935"/>
      <c r="M41" s="911"/>
      <c r="N41" s="911"/>
      <c r="O41" s="911"/>
      <c r="P41" s="935"/>
      <c r="Q41" s="935"/>
      <c r="R41" s="935"/>
    </row>
    <row r="42" spans="1:18" ht="14.5" hidden="1" customHeight="1" x14ac:dyDescent="0.2">
      <c r="A42" s="2083"/>
      <c r="B42" s="33" t="s">
        <v>231</v>
      </c>
      <c r="C42" s="12"/>
      <c r="D42" s="37"/>
      <c r="E42" s="37"/>
      <c r="F42" s="471">
        <v>-161.96</v>
      </c>
      <c r="G42" s="471"/>
      <c r="H42" s="471"/>
      <c r="I42" s="471"/>
      <c r="J42" s="475"/>
      <c r="K42" s="935"/>
      <c r="L42" s="935"/>
      <c r="M42" s="911"/>
      <c r="N42" s="911"/>
      <c r="O42" s="911"/>
      <c r="P42" s="935"/>
      <c r="Q42" s="935"/>
      <c r="R42" s="935"/>
    </row>
    <row r="43" spans="1:18" ht="14.5" hidden="1" customHeight="1" x14ac:dyDescent="0.2">
      <c r="A43" s="2082"/>
      <c r="B43" s="50" t="s">
        <v>212</v>
      </c>
      <c r="C43" s="50"/>
      <c r="D43" s="49">
        <v>-722.58</v>
      </c>
      <c r="E43" s="471"/>
      <c r="F43" s="37"/>
      <c r="G43" s="37"/>
      <c r="H43" s="37"/>
      <c r="I43" s="37"/>
      <c r="J43" s="703"/>
      <c r="K43" s="935"/>
      <c r="L43" s="935"/>
      <c r="M43" s="911"/>
      <c r="N43" s="911"/>
      <c r="O43" s="911"/>
      <c r="P43" s="935"/>
      <c r="Q43" s="935"/>
      <c r="R43" s="935"/>
    </row>
    <row r="44" spans="1:18" ht="28.75" hidden="1" customHeight="1" x14ac:dyDescent="0.2">
      <c r="A44" s="2083"/>
      <c r="B44" s="102" t="s">
        <v>221</v>
      </c>
      <c r="C44" s="335"/>
      <c r="D44" s="49">
        <v>-351</v>
      </c>
      <c r="E44" s="471">
        <v>-550</v>
      </c>
      <c r="F44" s="37"/>
      <c r="G44" s="37"/>
      <c r="H44" s="37"/>
      <c r="I44" s="37"/>
      <c r="J44" s="703"/>
      <c r="K44" s="935"/>
      <c r="L44" s="935"/>
      <c r="M44" s="911"/>
      <c r="N44" s="911"/>
      <c r="O44" s="911"/>
      <c r="P44" s="935"/>
      <c r="Q44" s="935"/>
      <c r="R44" s="935"/>
    </row>
    <row r="45" spans="1:18" ht="14.5" hidden="1" customHeight="1" x14ac:dyDescent="0.2">
      <c r="A45" s="2082"/>
      <c r="B45" s="477" t="s">
        <v>222</v>
      </c>
      <c r="C45" s="339"/>
      <c r="D45" s="49">
        <v>-553</v>
      </c>
      <c r="E45" s="471">
        <v>-212.31399999999999</v>
      </c>
      <c r="F45" s="37"/>
      <c r="G45" s="37"/>
      <c r="H45" s="37"/>
      <c r="I45" s="37"/>
      <c r="J45" s="703"/>
      <c r="K45" s="935"/>
      <c r="L45" s="935"/>
      <c r="M45" s="911"/>
      <c r="N45" s="911"/>
      <c r="O45" s="911"/>
      <c r="P45" s="935"/>
      <c r="Q45" s="935"/>
      <c r="R45" s="935"/>
    </row>
    <row r="46" spans="1:18" ht="14.5" hidden="1" customHeight="1" x14ac:dyDescent="0.2">
      <c r="A46" s="2083"/>
      <c r="B46" s="50" t="s">
        <v>217</v>
      </c>
      <c r="C46" s="50"/>
      <c r="D46" s="49">
        <v>-247.18</v>
      </c>
      <c r="E46" s="471"/>
      <c r="F46" s="37"/>
      <c r="G46" s="37"/>
      <c r="H46" s="37"/>
      <c r="I46" s="37"/>
      <c r="J46" s="703"/>
      <c r="K46" s="935"/>
      <c r="L46" s="935"/>
      <c r="M46" s="911"/>
      <c r="N46" s="911"/>
      <c r="O46" s="911"/>
      <c r="P46" s="935"/>
      <c r="Q46" s="935"/>
      <c r="R46" s="935"/>
    </row>
    <row r="47" spans="1:18" ht="14.5" hidden="1" customHeight="1" x14ac:dyDescent="0.2">
      <c r="A47" s="2082"/>
      <c r="B47" s="33" t="s">
        <v>233</v>
      </c>
      <c r="C47" s="12"/>
      <c r="D47" s="37"/>
      <c r="E47" s="37"/>
      <c r="F47" s="54">
        <v>-103.84</v>
      </c>
      <c r="G47" s="54"/>
      <c r="H47" s="54"/>
      <c r="I47" s="54"/>
      <c r="J47" s="310"/>
      <c r="K47" s="935"/>
      <c r="L47" s="935"/>
      <c r="M47" s="911"/>
      <c r="N47" s="911"/>
      <c r="O47" s="911"/>
      <c r="P47" s="935"/>
      <c r="Q47" s="935"/>
      <c r="R47" s="935"/>
    </row>
    <row r="48" spans="1:18" ht="14.5" hidden="1" customHeight="1" x14ac:dyDescent="0.2">
      <c r="A48" s="2083"/>
      <c r="B48" s="102" t="s">
        <v>223</v>
      </c>
      <c r="C48" s="335"/>
      <c r="D48" s="479"/>
      <c r="E48" s="471">
        <v>-102.05</v>
      </c>
      <c r="F48" s="37"/>
      <c r="G48" s="37"/>
      <c r="H48" s="37"/>
      <c r="I48" s="37"/>
      <c r="J48" s="703"/>
      <c r="K48" s="935"/>
      <c r="L48" s="935"/>
      <c r="M48" s="911"/>
      <c r="N48" s="911"/>
      <c r="O48" s="911"/>
      <c r="P48" s="935"/>
      <c r="Q48" s="935"/>
      <c r="R48" s="935"/>
    </row>
    <row r="49" spans="1:18" ht="14.5" hidden="1" customHeight="1" x14ac:dyDescent="0.2">
      <c r="A49" s="2082"/>
      <c r="B49" s="50" t="s">
        <v>213</v>
      </c>
      <c r="C49" s="50"/>
      <c r="D49" s="49">
        <v>-94.68</v>
      </c>
      <c r="E49" s="471"/>
      <c r="F49" s="37"/>
      <c r="G49" s="37"/>
      <c r="H49" s="37"/>
      <c r="I49" s="37"/>
      <c r="J49" s="703"/>
      <c r="K49" s="935"/>
      <c r="L49" s="935"/>
      <c r="M49" s="911"/>
      <c r="N49" s="911"/>
      <c r="O49" s="911"/>
      <c r="P49" s="935"/>
      <c r="Q49" s="935"/>
      <c r="R49" s="935"/>
    </row>
    <row r="50" spans="1:18" ht="16" x14ac:dyDescent="0.2">
      <c r="A50" s="2083"/>
      <c r="B50" s="477" t="s">
        <v>228</v>
      </c>
      <c r="C50" s="339"/>
      <c r="D50" s="478"/>
      <c r="E50" s="471">
        <v>-75</v>
      </c>
      <c r="F50" s="471">
        <v>-75</v>
      </c>
      <c r="G50" s="471">
        <v>-85</v>
      </c>
      <c r="H50" s="471">
        <v>-85</v>
      </c>
      <c r="I50" s="472"/>
      <c r="J50" s="476">
        <v>-85</v>
      </c>
      <c r="K50" s="935">
        <v>-85</v>
      </c>
      <c r="L50" s="935">
        <v>-100</v>
      </c>
      <c r="M50" s="911">
        <v>-100</v>
      </c>
      <c r="N50" s="911">
        <v>-100</v>
      </c>
      <c r="O50" s="911">
        <v>-125</v>
      </c>
      <c r="P50" s="935"/>
      <c r="Q50" s="935"/>
      <c r="R50" s="935"/>
    </row>
    <row r="51" spans="1:18" ht="14.5" hidden="1" customHeight="1" x14ac:dyDescent="0.2">
      <c r="A51" s="2082"/>
      <c r="B51" s="33" t="s">
        <v>304</v>
      </c>
      <c r="C51" s="48"/>
      <c r="D51" s="49"/>
      <c r="E51" s="471"/>
      <c r="F51" s="37"/>
      <c r="G51" s="37"/>
      <c r="H51" s="37"/>
      <c r="I51" s="37"/>
      <c r="J51" s="703"/>
      <c r="K51" s="735"/>
      <c r="L51" s="735"/>
      <c r="M51" s="911"/>
      <c r="N51" s="911"/>
      <c r="O51" s="911"/>
      <c r="P51" s="935"/>
      <c r="Q51" s="935"/>
      <c r="R51" s="935"/>
    </row>
    <row r="52" spans="1:18" ht="16" hidden="1" x14ac:dyDescent="0.2">
      <c r="A52" s="2085"/>
      <c r="B52" s="33" t="s">
        <v>232</v>
      </c>
      <c r="C52" s="12"/>
      <c r="D52" s="49">
        <v>-140</v>
      </c>
      <c r="E52" s="37"/>
      <c r="F52" s="54">
        <v>-119.72</v>
      </c>
      <c r="G52" s="54">
        <v>-100</v>
      </c>
      <c r="H52" s="54">
        <v>-100</v>
      </c>
      <c r="I52" s="472"/>
      <c r="J52" s="476">
        <v>-32</v>
      </c>
      <c r="K52" s="935"/>
      <c r="L52" s="735">
        <v>-60</v>
      </c>
      <c r="M52" s="911"/>
      <c r="N52" s="911">
        <v>-138</v>
      </c>
      <c r="O52" s="911"/>
      <c r="P52" s="935"/>
      <c r="Q52" s="935"/>
      <c r="R52" s="935"/>
    </row>
    <row r="53" spans="1:18" ht="16" hidden="1" x14ac:dyDescent="0.2">
      <c r="A53" s="2082"/>
      <c r="B53" s="31" t="s">
        <v>683</v>
      </c>
      <c r="C53" s="73"/>
      <c r="D53" s="73"/>
      <c r="E53" s="73"/>
      <c r="F53" s="73"/>
      <c r="G53" s="73"/>
      <c r="H53" s="157"/>
      <c r="I53" s="157"/>
      <c r="J53" s="289"/>
      <c r="K53" s="735">
        <v>-20</v>
      </c>
      <c r="L53" s="735"/>
      <c r="M53" s="911"/>
      <c r="N53" s="911"/>
      <c r="O53" s="911"/>
      <c r="P53" s="935"/>
      <c r="Q53" s="935"/>
      <c r="R53" s="935"/>
    </row>
    <row r="54" spans="1:18" ht="16" hidden="1" x14ac:dyDescent="0.2">
      <c r="A54" s="2083"/>
      <c r="B54" s="31" t="s">
        <v>684</v>
      </c>
      <c r="C54" s="73"/>
      <c r="D54" s="73"/>
      <c r="E54" s="73"/>
      <c r="F54" s="73"/>
      <c r="G54" s="73"/>
      <c r="H54" s="157"/>
      <c r="I54" s="157"/>
      <c r="J54" s="289"/>
      <c r="K54" s="735">
        <v>-54.6</v>
      </c>
      <c r="L54" s="735"/>
      <c r="M54" s="911"/>
      <c r="N54" s="911"/>
      <c r="O54" s="911"/>
      <c r="P54" s="935"/>
      <c r="Q54" s="935"/>
      <c r="R54" s="935"/>
    </row>
    <row r="55" spans="1:18" ht="16" hidden="1" x14ac:dyDescent="0.2">
      <c r="A55" s="2082"/>
      <c r="B55" s="31" t="s">
        <v>685</v>
      </c>
      <c r="C55" s="73"/>
      <c r="D55" s="73"/>
      <c r="E55" s="73"/>
      <c r="F55" s="73"/>
      <c r="G55" s="73"/>
      <c r="H55" s="157"/>
      <c r="I55" s="157"/>
      <c r="J55" s="289"/>
      <c r="K55" s="735">
        <v>-16.239999999999998</v>
      </c>
      <c r="L55" s="735"/>
      <c r="M55" s="911"/>
      <c r="N55" s="911">
        <v>-24</v>
      </c>
      <c r="O55" s="911"/>
      <c r="P55" s="935"/>
      <c r="Q55" s="935"/>
      <c r="R55" s="935"/>
    </row>
    <row r="56" spans="1:18" ht="16" hidden="1" x14ac:dyDescent="0.2">
      <c r="A56" s="2083"/>
      <c r="B56" s="31" t="s">
        <v>956</v>
      </c>
      <c r="C56" s="73"/>
      <c r="D56" s="73"/>
      <c r="E56" s="73"/>
      <c r="F56" s="73"/>
      <c r="G56" s="73"/>
      <c r="H56" s="157"/>
      <c r="I56" s="157"/>
      <c r="J56" s="289"/>
      <c r="K56" s="735">
        <v>-5.85</v>
      </c>
      <c r="L56" s="735"/>
      <c r="M56" s="911"/>
      <c r="N56" s="911"/>
      <c r="O56" s="911"/>
      <c r="P56" s="935"/>
      <c r="Q56" s="935"/>
      <c r="R56" s="935"/>
    </row>
    <row r="57" spans="1:18" ht="16" hidden="1" x14ac:dyDescent="0.2">
      <c r="A57" s="2082"/>
      <c r="B57" s="31" t="s">
        <v>832</v>
      </c>
      <c r="C57" s="73"/>
      <c r="D57" s="73"/>
      <c r="E57" s="73"/>
      <c r="F57" s="73"/>
      <c r="G57" s="73"/>
      <c r="H57" s="157"/>
      <c r="I57" s="157"/>
      <c r="J57" s="289"/>
      <c r="K57" s="735"/>
      <c r="L57" s="735">
        <v>-22.33</v>
      </c>
      <c r="M57" s="911"/>
      <c r="N57" s="911"/>
      <c r="O57" s="911"/>
      <c r="P57" s="935"/>
      <c r="Q57" s="935"/>
      <c r="R57" s="935"/>
    </row>
    <row r="58" spans="1:18" ht="16" hidden="1" x14ac:dyDescent="0.2">
      <c r="A58" s="2083"/>
      <c r="B58" s="31" t="s">
        <v>686</v>
      </c>
      <c r="C58" s="73"/>
      <c r="D58" s="73"/>
      <c r="E58" s="73"/>
      <c r="F58" s="73"/>
      <c r="G58" s="73"/>
      <c r="H58" s="157"/>
      <c r="I58" s="157"/>
      <c r="J58" s="289"/>
      <c r="K58" s="735">
        <v>-18</v>
      </c>
      <c r="L58" s="735"/>
      <c r="M58" s="911"/>
      <c r="N58" s="911"/>
      <c r="O58" s="911"/>
      <c r="P58" s="935"/>
      <c r="Q58" s="935"/>
      <c r="R58" s="935"/>
    </row>
    <row r="59" spans="1:18" ht="16" hidden="1" x14ac:dyDescent="0.2">
      <c r="A59" s="2082"/>
      <c r="B59" s="31" t="s">
        <v>688</v>
      </c>
      <c r="C59" s="73"/>
      <c r="D59" s="73"/>
      <c r="E59" s="73"/>
      <c r="F59" s="73"/>
      <c r="G59" s="73"/>
      <c r="H59" s="157"/>
      <c r="I59" s="157"/>
      <c r="J59" s="289"/>
      <c r="K59" s="735"/>
      <c r="L59" s="735">
        <v>-48.6</v>
      </c>
      <c r="M59" s="911"/>
      <c r="N59" s="911"/>
      <c r="O59" s="911"/>
      <c r="P59" s="935"/>
      <c r="Q59" s="935"/>
      <c r="R59" s="935"/>
    </row>
    <row r="60" spans="1:18" ht="16" hidden="1" x14ac:dyDescent="0.2">
      <c r="A60" s="2083"/>
      <c r="B60" s="31" t="s">
        <v>820</v>
      </c>
      <c r="C60" s="73"/>
      <c r="D60" s="73"/>
      <c r="E60" s="73"/>
      <c r="F60" s="73"/>
      <c r="G60" s="73"/>
      <c r="H60" s="157"/>
      <c r="I60" s="157"/>
      <c r="J60" s="289"/>
      <c r="K60" s="735"/>
      <c r="L60" s="735">
        <v>-104.56</v>
      </c>
      <c r="M60" s="911"/>
      <c r="N60" s="911"/>
      <c r="O60" s="911"/>
      <c r="P60" s="935"/>
      <c r="Q60" s="935"/>
      <c r="R60" s="935"/>
    </row>
    <row r="61" spans="1:18" ht="16" hidden="1" x14ac:dyDescent="0.2">
      <c r="A61" s="2082"/>
      <c r="B61" s="31" t="s">
        <v>821</v>
      </c>
      <c r="C61" s="73"/>
      <c r="D61" s="73"/>
      <c r="E61" s="73"/>
      <c r="F61" s="73"/>
      <c r="G61" s="73"/>
      <c r="H61" s="157"/>
      <c r="I61" s="157"/>
      <c r="J61" s="289"/>
      <c r="K61" s="735"/>
      <c r="L61" s="735">
        <v>-58.23</v>
      </c>
      <c r="M61" s="911"/>
      <c r="N61" s="911">
        <v>-18</v>
      </c>
      <c r="O61" s="911"/>
      <c r="P61" s="935"/>
      <c r="Q61" s="935"/>
      <c r="R61" s="935"/>
    </row>
    <row r="62" spans="1:18" ht="16" hidden="1" x14ac:dyDescent="0.2">
      <c r="A62" s="2083"/>
      <c r="B62" s="31" t="s">
        <v>822</v>
      </c>
      <c r="C62" s="73"/>
      <c r="D62" s="73"/>
      <c r="E62" s="73"/>
      <c r="F62" s="73"/>
      <c r="G62" s="73"/>
      <c r="H62" s="157"/>
      <c r="I62" s="157"/>
      <c r="J62" s="289"/>
      <c r="K62" s="735"/>
      <c r="L62" s="735">
        <v>-31.04</v>
      </c>
      <c r="M62" s="911"/>
      <c r="N62" s="911"/>
      <c r="O62" s="911"/>
      <c r="P62" s="935"/>
      <c r="Q62" s="935"/>
      <c r="R62" s="935"/>
    </row>
    <row r="63" spans="1:18" ht="16" hidden="1" x14ac:dyDescent="0.2">
      <c r="A63" s="2082"/>
      <c r="B63" s="31" t="s">
        <v>823</v>
      </c>
      <c r="C63" s="73"/>
      <c r="D63" s="73"/>
      <c r="E63" s="73"/>
      <c r="F63" s="73"/>
      <c r="G63" s="73"/>
      <c r="H63" s="157"/>
      <c r="I63" s="157"/>
      <c r="J63" s="289"/>
      <c r="K63" s="735"/>
      <c r="L63" s="735">
        <v>-3.9</v>
      </c>
      <c r="M63" s="911"/>
      <c r="N63" s="911"/>
      <c r="O63" s="911"/>
      <c r="P63" s="935"/>
      <c r="Q63" s="935"/>
      <c r="R63" s="935"/>
    </row>
    <row r="64" spans="1:18" ht="16" hidden="1" x14ac:dyDescent="0.2">
      <c r="A64" s="2083"/>
      <c r="B64" s="31" t="s">
        <v>824</v>
      </c>
      <c r="C64" s="73"/>
      <c r="D64" s="73"/>
      <c r="E64" s="73"/>
      <c r="F64" s="73"/>
      <c r="G64" s="73"/>
      <c r="H64" s="157"/>
      <c r="I64" s="157"/>
      <c r="J64" s="289"/>
      <c r="K64" s="735"/>
      <c r="L64" s="735">
        <v>-74.94</v>
      </c>
      <c r="M64" s="911"/>
      <c r="N64" s="911"/>
      <c r="O64" s="911"/>
      <c r="P64" s="935"/>
      <c r="Q64" s="935"/>
      <c r="R64" s="935"/>
    </row>
    <row r="65" spans="1:18" ht="16" hidden="1" x14ac:dyDescent="0.2">
      <c r="A65" s="2082"/>
      <c r="B65" s="31" t="s">
        <v>825</v>
      </c>
      <c r="C65" s="73"/>
      <c r="D65" s="73"/>
      <c r="E65" s="73"/>
      <c r="F65" s="73"/>
      <c r="G65" s="73"/>
      <c r="H65" s="157"/>
      <c r="I65" s="157"/>
      <c r="J65" s="289"/>
      <c r="K65" s="735"/>
      <c r="L65" s="735">
        <v>-12.99</v>
      </c>
      <c r="M65" s="911"/>
      <c r="N65" s="911"/>
      <c r="O65" s="911"/>
      <c r="P65" s="935"/>
      <c r="Q65" s="935"/>
      <c r="R65" s="935"/>
    </row>
    <row r="66" spans="1:18" ht="16" hidden="1" x14ac:dyDescent="0.2">
      <c r="A66" s="2083"/>
      <c r="B66" s="31" t="s">
        <v>826</v>
      </c>
      <c r="C66" s="73"/>
      <c r="D66" s="73"/>
      <c r="E66" s="73"/>
      <c r="F66" s="73"/>
      <c r="G66" s="73"/>
      <c r="H66" s="157"/>
      <c r="I66" s="157"/>
      <c r="J66" s="289"/>
      <c r="K66" s="735"/>
      <c r="L66" s="735">
        <v>-2</v>
      </c>
      <c r="M66" s="911"/>
      <c r="N66" s="911"/>
      <c r="O66" s="911"/>
      <c r="P66" s="935"/>
      <c r="Q66" s="935"/>
      <c r="R66" s="935"/>
    </row>
    <row r="67" spans="1:18" ht="16" hidden="1" x14ac:dyDescent="0.2">
      <c r="A67" s="2082"/>
      <c r="B67" s="31" t="s">
        <v>827</v>
      </c>
      <c r="C67" s="73"/>
      <c r="D67" s="73"/>
      <c r="E67" s="73"/>
      <c r="F67" s="73"/>
      <c r="G67" s="73"/>
      <c r="H67" s="157"/>
      <c r="I67" s="157"/>
      <c r="J67" s="289"/>
      <c r="K67" s="735"/>
      <c r="L67" s="735">
        <v>-4.99</v>
      </c>
      <c r="M67" s="911"/>
      <c r="N67" s="911"/>
      <c r="O67" s="911"/>
      <c r="P67" s="935"/>
      <c r="Q67" s="935"/>
      <c r="R67" s="935"/>
    </row>
    <row r="68" spans="1:18" ht="16" hidden="1" x14ac:dyDescent="0.2">
      <c r="A68" s="2083"/>
      <c r="B68" s="31" t="s">
        <v>828</v>
      </c>
      <c r="C68" s="73"/>
      <c r="D68" s="73"/>
      <c r="E68" s="73"/>
      <c r="F68" s="73"/>
      <c r="G68" s="73"/>
      <c r="H68" s="157"/>
      <c r="I68" s="157"/>
      <c r="J68" s="289"/>
      <c r="K68" s="735"/>
      <c r="L68" s="735">
        <v>-41.99</v>
      </c>
      <c r="M68" s="911"/>
      <c r="N68" s="911"/>
      <c r="O68" s="911"/>
      <c r="P68" s="935"/>
      <c r="Q68" s="935"/>
      <c r="R68" s="935"/>
    </row>
    <row r="69" spans="1:18" ht="16" hidden="1" x14ac:dyDescent="0.2">
      <c r="A69" s="2082"/>
      <c r="B69" s="31" t="s">
        <v>807</v>
      </c>
      <c r="C69" s="73"/>
      <c r="D69" s="73"/>
      <c r="E69" s="73"/>
      <c r="F69" s="73"/>
      <c r="G69" s="73"/>
      <c r="H69" s="157"/>
      <c r="I69" s="157"/>
      <c r="J69" s="289"/>
      <c r="K69" s="735"/>
      <c r="L69" s="735">
        <v>-9.35</v>
      </c>
      <c r="M69" s="911"/>
      <c r="N69" s="911"/>
      <c r="O69" s="911"/>
      <c r="P69" s="935"/>
      <c r="Q69" s="935"/>
      <c r="R69" s="935"/>
    </row>
    <row r="70" spans="1:18" ht="16" hidden="1" x14ac:dyDescent="0.2">
      <c r="A70" s="2083"/>
      <c r="B70" s="31" t="s">
        <v>829</v>
      </c>
      <c r="C70" s="73"/>
      <c r="D70" s="73"/>
      <c r="E70" s="73"/>
      <c r="F70" s="73"/>
      <c r="G70" s="73"/>
      <c r="H70" s="157"/>
      <c r="I70" s="157"/>
      <c r="J70" s="289"/>
      <c r="K70" s="735"/>
      <c r="L70" s="735">
        <v>-67.61</v>
      </c>
      <c r="M70" s="911"/>
      <c r="N70" s="911"/>
      <c r="O70" s="911"/>
      <c r="P70" s="935"/>
      <c r="Q70" s="935"/>
      <c r="R70" s="935"/>
    </row>
    <row r="71" spans="1:18" ht="16" hidden="1" x14ac:dyDescent="0.2">
      <c r="A71" s="2085"/>
      <c r="B71" s="31" t="s">
        <v>830</v>
      </c>
      <c r="C71" s="73"/>
      <c r="D71" s="73"/>
      <c r="E71" s="73"/>
      <c r="F71" s="73"/>
      <c r="G71" s="73"/>
      <c r="H71" s="157"/>
      <c r="I71" s="157"/>
      <c r="J71" s="289"/>
      <c r="K71" s="735"/>
      <c r="L71" s="735">
        <v>-2.4500000000000002</v>
      </c>
      <c r="M71" s="911"/>
      <c r="N71" s="911"/>
      <c r="O71" s="911"/>
      <c r="P71" s="935"/>
      <c r="Q71" s="935"/>
      <c r="R71" s="935"/>
    </row>
    <row r="72" spans="1:18" ht="16" hidden="1" x14ac:dyDescent="0.2">
      <c r="A72" s="2084"/>
      <c r="B72" s="31" t="s">
        <v>478</v>
      </c>
      <c r="C72" s="73"/>
      <c r="D72" s="73"/>
      <c r="E72" s="73"/>
      <c r="F72" s="73"/>
      <c r="G72" s="73"/>
      <c r="H72" s="157"/>
      <c r="I72" s="157"/>
      <c r="J72" s="289"/>
      <c r="K72" s="735"/>
      <c r="L72" s="735">
        <v>-10.08</v>
      </c>
      <c r="M72" s="911"/>
      <c r="N72" s="911"/>
      <c r="O72" s="911"/>
      <c r="P72" s="935"/>
      <c r="Q72" s="935"/>
      <c r="R72" s="935"/>
    </row>
    <row r="73" spans="1:18" ht="16" hidden="1" x14ac:dyDescent="0.2">
      <c r="A73" s="2085"/>
      <c r="B73" s="31" t="s">
        <v>833</v>
      </c>
      <c r="C73" s="73"/>
      <c r="D73" s="73"/>
      <c r="E73" s="73"/>
      <c r="F73" s="73"/>
      <c r="G73" s="73"/>
      <c r="H73" s="157"/>
      <c r="I73" s="157"/>
      <c r="J73" s="289"/>
      <c r="K73" s="735"/>
      <c r="L73" s="735"/>
      <c r="M73" s="911"/>
      <c r="N73" s="911"/>
      <c r="O73" s="911"/>
      <c r="P73" s="935"/>
      <c r="Q73" s="935"/>
      <c r="R73" s="935"/>
    </row>
    <row r="74" spans="1:18" ht="16" hidden="1" x14ac:dyDescent="0.2">
      <c r="A74" s="2082"/>
      <c r="B74" s="31" t="s">
        <v>955</v>
      </c>
      <c r="C74" s="73"/>
      <c r="D74" s="73"/>
      <c r="E74" s="73"/>
      <c r="F74" s="73"/>
      <c r="G74" s="73"/>
      <c r="H74" s="157"/>
      <c r="I74" s="157"/>
      <c r="J74" s="289"/>
      <c r="K74" s="735"/>
      <c r="L74" s="735"/>
      <c r="M74" s="911"/>
      <c r="N74" s="936">
        <v>-58</v>
      </c>
      <c r="O74" s="911"/>
      <c r="P74" s="935"/>
      <c r="Q74" s="935"/>
      <c r="R74" s="935"/>
    </row>
    <row r="75" spans="1:18" hidden="1" x14ac:dyDescent="0.2">
      <c r="B75" s="18" t="s">
        <v>877</v>
      </c>
      <c r="C75" s="12"/>
      <c r="D75" s="12"/>
      <c r="E75" s="12"/>
      <c r="F75" s="12"/>
      <c r="G75" s="12"/>
      <c r="H75" s="302"/>
      <c r="I75" s="302"/>
      <c r="J75" s="303"/>
      <c r="K75" s="735"/>
      <c r="L75" s="735"/>
      <c r="M75" s="937">
        <v>-3.49</v>
      </c>
      <c r="N75" s="735"/>
      <c r="O75" s="735"/>
      <c r="P75" s="735"/>
      <c r="Q75" s="735"/>
      <c r="R75" s="735"/>
    </row>
    <row r="76" spans="1:18" hidden="1" x14ac:dyDescent="0.2">
      <c r="B76" s="330" t="s">
        <v>893</v>
      </c>
      <c r="C76" s="12"/>
      <c r="D76" s="12"/>
      <c r="E76" s="12"/>
      <c r="F76" s="12"/>
      <c r="G76" s="12"/>
      <c r="H76" s="302"/>
      <c r="I76" s="302"/>
      <c r="J76" s="303"/>
      <c r="K76" s="735"/>
      <c r="L76" s="735"/>
      <c r="M76" s="938">
        <v>10</v>
      </c>
      <c r="N76" s="735"/>
      <c r="O76" s="735"/>
      <c r="P76" s="735"/>
      <c r="Q76" s="735"/>
      <c r="R76" s="735"/>
    </row>
    <row r="77" spans="1:18" hidden="1" x14ac:dyDescent="0.2">
      <c r="B77" s="791" t="s">
        <v>878</v>
      </c>
      <c r="C77" s="792"/>
      <c r="D77" s="792"/>
      <c r="E77" s="792"/>
      <c r="F77" s="792"/>
      <c r="G77" s="792"/>
      <c r="H77" s="793"/>
      <c r="I77" s="793"/>
      <c r="J77" s="794"/>
      <c r="K77" s="939"/>
      <c r="L77" s="939"/>
      <c r="M77" s="940">
        <v>-57.22</v>
      </c>
      <c r="N77" s="735"/>
      <c r="O77" s="735"/>
      <c r="P77" s="735"/>
      <c r="Q77" s="735"/>
      <c r="R77" s="735"/>
    </row>
    <row r="78" spans="1:18" hidden="1" x14ac:dyDescent="0.2">
      <c r="B78" s="330" t="s">
        <v>879</v>
      </c>
      <c r="C78" s="12"/>
      <c r="D78" s="12"/>
      <c r="E78" s="12"/>
      <c r="F78" s="12"/>
      <c r="G78" s="12"/>
      <c r="H78" s="302"/>
      <c r="I78" s="302"/>
      <c r="J78" s="303"/>
      <c r="K78" s="735"/>
      <c r="L78" s="735"/>
      <c r="M78" s="941">
        <v>-1.6</v>
      </c>
      <c r="N78" s="735"/>
      <c r="O78" s="735"/>
      <c r="P78" s="735"/>
      <c r="Q78" s="735"/>
      <c r="R78" s="735"/>
    </row>
    <row r="79" spans="1:18" hidden="1" x14ac:dyDescent="0.2">
      <c r="B79" s="791" t="s">
        <v>880</v>
      </c>
      <c r="C79" s="792"/>
      <c r="D79" s="792"/>
      <c r="E79" s="792"/>
      <c r="F79" s="792"/>
      <c r="G79" s="792"/>
      <c r="H79" s="793"/>
      <c r="I79" s="793"/>
      <c r="J79" s="794"/>
      <c r="K79" s="939"/>
      <c r="L79" s="939"/>
      <c r="M79" s="940">
        <v>-26.4</v>
      </c>
      <c r="N79" s="735"/>
      <c r="O79" s="735"/>
      <c r="P79" s="735"/>
      <c r="Q79" s="735"/>
      <c r="R79" s="735"/>
    </row>
    <row r="80" spans="1:18" hidden="1" x14ac:dyDescent="0.2">
      <c r="B80" s="330" t="s">
        <v>881</v>
      </c>
      <c r="C80" s="12"/>
      <c r="D80" s="12"/>
      <c r="E80" s="12"/>
      <c r="F80" s="12"/>
      <c r="G80" s="12"/>
      <c r="H80" s="302"/>
      <c r="I80" s="302"/>
      <c r="J80" s="303"/>
      <c r="K80" s="735"/>
      <c r="L80" s="735"/>
      <c r="M80" s="941">
        <v>-47.99</v>
      </c>
      <c r="N80" s="735">
        <v>-34</v>
      </c>
      <c r="O80" s="735"/>
      <c r="P80" s="735"/>
      <c r="Q80" s="735"/>
      <c r="R80" s="735"/>
    </row>
    <row r="81" spans="2:18" hidden="1" x14ac:dyDescent="0.2">
      <c r="B81" s="331" t="s">
        <v>882</v>
      </c>
      <c r="C81" s="12"/>
      <c r="D81" s="12"/>
      <c r="E81" s="12"/>
      <c r="F81" s="12"/>
      <c r="G81" s="12"/>
      <c r="H81" s="302"/>
      <c r="I81" s="302"/>
      <c r="J81" s="303"/>
      <c r="K81" s="735"/>
      <c r="L81" s="735"/>
      <c r="M81" s="937">
        <v>-10.7</v>
      </c>
      <c r="N81" s="735"/>
      <c r="O81" s="735"/>
      <c r="P81" s="735"/>
      <c r="Q81" s="735"/>
      <c r="R81" s="735"/>
    </row>
    <row r="82" spans="2:18" hidden="1" x14ac:dyDescent="0.2">
      <c r="B82" s="330" t="s">
        <v>883</v>
      </c>
      <c r="C82" s="12"/>
      <c r="D82" s="12"/>
      <c r="E82" s="12"/>
      <c r="F82" s="12"/>
      <c r="G82" s="12"/>
      <c r="H82" s="302"/>
      <c r="I82" s="302"/>
      <c r="J82" s="303"/>
      <c r="K82" s="735"/>
      <c r="L82" s="735"/>
      <c r="M82" s="941">
        <v>-95.01</v>
      </c>
      <c r="N82" s="735"/>
      <c r="O82" s="735"/>
      <c r="P82" s="735"/>
      <c r="Q82" s="735"/>
      <c r="R82" s="735"/>
    </row>
    <row r="83" spans="2:18" hidden="1" x14ac:dyDescent="0.2">
      <c r="B83" s="331" t="s">
        <v>883</v>
      </c>
      <c r="C83" s="12"/>
      <c r="D83" s="12"/>
      <c r="E83" s="12"/>
      <c r="F83" s="12"/>
      <c r="G83" s="12"/>
      <c r="H83" s="302"/>
      <c r="I83" s="302"/>
      <c r="J83" s="303"/>
      <c r="K83" s="735"/>
      <c r="L83" s="735"/>
      <c r="M83" s="937">
        <v>-12.34</v>
      </c>
      <c r="N83" s="735"/>
      <c r="O83" s="735"/>
      <c r="P83" s="735"/>
      <c r="Q83" s="735"/>
      <c r="R83" s="735"/>
    </row>
    <row r="84" spans="2:18" hidden="1" x14ac:dyDescent="0.2">
      <c r="B84" s="330" t="s">
        <v>884</v>
      </c>
      <c r="C84" s="12"/>
      <c r="D84" s="12"/>
      <c r="E84" s="12"/>
      <c r="F84" s="12"/>
      <c r="G84" s="12"/>
      <c r="H84" s="302"/>
      <c r="I84" s="302"/>
      <c r="J84" s="303"/>
      <c r="K84" s="735"/>
      <c r="L84" s="735"/>
      <c r="M84" s="941">
        <v>-78.87</v>
      </c>
      <c r="N84" s="735"/>
      <c r="O84" s="735"/>
      <c r="P84" s="735"/>
      <c r="Q84" s="735"/>
      <c r="R84" s="735"/>
    </row>
    <row r="85" spans="2:18" x14ac:dyDescent="0.2">
      <c r="B85" s="330" t="s">
        <v>1030</v>
      </c>
      <c r="C85" s="12"/>
      <c r="D85" s="12"/>
      <c r="E85" s="12"/>
      <c r="F85" s="12"/>
      <c r="G85" s="12"/>
      <c r="H85" s="302"/>
      <c r="I85" s="302"/>
      <c r="J85" s="303"/>
      <c r="K85" s="735"/>
      <c r="L85" s="735"/>
      <c r="M85" s="941"/>
      <c r="N85" s="735"/>
      <c r="O85" s="735">
        <v>-50.18</v>
      </c>
      <c r="P85" s="735"/>
      <c r="Q85" s="735"/>
      <c r="R85" s="735"/>
    </row>
    <row r="86" spans="2:18" x14ac:dyDescent="0.2">
      <c r="B86" s="330" t="s">
        <v>232</v>
      </c>
      <c r="C86" s="12"/>
      <c r="D86" s="12"/>
      <c r="E86" s="12"/>
      <c r="F86" s="12"/>
      <c r="G86" s="12"/>
      <c r="H86" s="302"/>
      <c r="I86" s="302"/>
      <c r="J86" s="303"/>
      <c r="K86" s="735"/>
      <c r="L86" s="735"/>
      <c r="M86" s="941"/>
      <c r="N86" s="735"/>
      <c r="O86" s="735">
        <v>-44</v>
      </c>
      <c r="P86" s="735"/>
      <c r="Q86" s="735"/>
      <c r="R86" s="735"/>
    </row>
    <row r="87" spans="2:18" x14ac:dyDescent="0.2">
      <c r="B87" s="330" t="s">
        <v>1031</v>
      </c>
      <c r="C87" s="12"/>
      <c r="D87" s="12"/>
      <c r="E87" s="12"/>
      <c r="F87" s="12"/>
      <c r="G87" s="12"/>
      <c r="H87" s="302"/>
      <c r="I87" s="302"/>
      <c r="J87" s="303"/>
      <c r="K87" s="735"/>
      <c r="L87" s="735"/>
      <c r="M87" s="941"/>
      <c r="N87" s="735"/>
      <c r="O87" s="735">
        <v>-36.56</v>
      </c>
      <c r="P87" s="735"/>
      <c r="Q87" s="735"/>
      <c r="R87" s="735"/>
    </row>
    <row r="88" spans="2:18" x14ac:dyDescent="0.2">
      <c r="B88" s="330" t="s">
        <v>1032</v>
      </c>
      <c r="C88" s="12"/>
      <c r="D88" s="12"/>
      <c r="E88" s="12"/>
      <c r="F88" s="12"/>
      <c r="G88" s="12"/>
      <c r="H88" s="302"/>
      <c r="I88" s="302"/>
      <c r="J88" s="303"/>
      <c r="K88" s="735"/>
      <c r="L88" s="735"/>
      <c r="M88" s="941"/>
      <c r="N88" s="735"/>
      <c r="O88" s="735">
        <v>-43.95</v>
      </c>
      <c r="P88" s="735"/>
      <c r="Q88" s="735"/>
      <c r="R88" s="735"/>
    </row>
    <row r="89" spans="2:18" x14ac:dyDescent="0.2">
      <c r="B89" s="330" t="s">
        <v>1033</v>
      </c>
      <c r="C89" s="12"/>
      <c r="D89" s="12"/>
      <c r="E89" s="12"/>
      <c r="F89" s="12"/>
      <c r="G89" s="12"/>
      <c r="H89" s="302"/>
      <c r="I89" s="302"/>
      <c r="J89" s="303"/>
      <c r="K89" s="735"/>
      <c r="L89" s="735"/>
      <c r="M89" s="941"/>
      <c r="N89" s="735"/>
      <c r="O89" s="735">
        <v>-21.99</v>
      </c>
      <c r="P89" s="735"/>
      <c r="Q89" s="735"/>
      <c r="R89" s="735"/>
    </row>
    <row r="90" spans="2:18" x14ac:dyDescent="0.2">
      <c r="B90" s="330" t="s">
        <v>1056</v>
      </c>
      <c r="C90" s="12"/>
      <c r="D90" s="12"/>
      <c r="E90" s="12"/>
      <c r="F90" s="12"/>
      <c r="G90" s="12"/>
      <c r="H90" s="302"/>
      <c r="I90" s="302"/>
      <c r="J90" s="303"/>
      <c r="K90" s="735"/>
      <c r="L90" s="735"/>
      <c r="M90" s="941"/>
      <c r="N90" s="735"/>
      <c r="O90" s="735">
        <v>-27.9</v>
      </c>
      <c r="P90" s="735"/>
      <c r="Q90" s="735"/>
      <c r="R90" s="735"/>
    </row>
    <row r="91" spans="2:18" x14ac:dyDescent="0.2">
      <c r="B91" s="330"/>
      <c r="C91" s="12"/>
      <c r="D91" s="12"/>
      <c r="E91" s="12"/>
      <c r="F91" s="12"/>
      <c r="G91" s="12"/>
      <c r="H91" s="302"/>
      <c r="I91" s="302"/>
      <c r="J91" s="303"/>
      <c r="K91" s="735"/>
      <c r="L91" s="735"/>
      <c r="M91" s="941"/>
      <c r="N91" s="735"/>
      <c r="O91" s="735"/>
      <c r="P91" s="735"/>
      <c r="Q91" s="735"/>
      <c r="R91" s="735"/>
    </row>
    <row r="92" spans="2:18" x14ac:dyDescent="0.2">
      <c r="B92" s="330" t="s">
        <v>1081</v>
      </c>
      <c r="C92" s="12"/>
      <c r="D92" s="12"/>
      <c r="E92" s="12"/>
      <c r="F92" s="12"/>
      <c r="G92" s="12"/>
      <c r="H92" s="302"/>
      <c r="I92" s="302"/>
      <c r="J92" s="303"/>
      <c r="K92" s="735"/>
      <c r="L92" s="735"/>
      <c r="M92" s="941"/>
      <c r="N92" s="735"/>
      <c r="O92" s="735"/>
      <c r="P92" s="735">
        <v>-235</v>
      </c>
      <c r="Q92" s="735"/>
      <c r="R92" s="735"/>
    </row>
    <row r="93" spans="2:18" x14ac:dyDescent="0.2">
      <c r="B93" s="330" t="s">
        <v>1082</v>
      </c>
      <c r="C93" s="12"/>
      <c r="D93" s="12"/>
      <c r="E93" s="12"/>
      <c r="F93" s="12"/>
      <c r="G93" s="12"/>
      <c r="H93" s="302"/>
      <c r="I93" s="302"/>
      <c r="J93" s="303"/>
      <c r="K93" s="735"/>
      <c r="L93" s="735"/>
      <c r="M93" s="941"/>
      <c r="N93" s="735"/>
      <c r="O93" s="735"/>
      <c r="P93" s="735"/>
      <c r="Q93" s="735"/>
      <c r="R93" s="735"/>
    </row>
    <row r="94" spans="2:18" x14ac:dyDescent="0.2">
      <c r="B94" s="331" t="s">
        <v>1325</v>
      </c>
      <c r="C94" s="12"/>
      <c r="D94" s="12"/>
      <c r="E94" s="12"/>
      <c r="F94" s="12"/>
      <c r="G94" s="12"/>
      <c r="H94" s="302"/>
      <c r="I94" s="302"/>
      <c r="J94" s="303"/>
      <c r="K94" s="735"/>
      <c r="L94" s="735"/>
      <c r="M94" s="941"/>
      <c r="N94" s="735"/>
      <c r="O94" s="735"/>
      <c r="P94" s="735"/>
      <c r="Q94" s="1299">
        <v>-81.83</v>
      </c>
      <c r="R94" s="735"/>
    </row>
    <row r="95" spans="2:18" x14ac:dyDescent="0.2">
      <c r="B95" s="330" t="s">
        <v>1326</v>
      </c>
      <c r="C95" s="12"/>
      <c r="D95" s="12"/>
      <c r="E95" s="12"/>
      <c r="F95" s="12"/>
      <c r="G95" s="12"/>
      <c r="H95" s="302"/>
      <c r="I95" s="302"/>
      <c r="J95" s="303"/>
      <c r="K95" s="735"/>
      <c r="L95" s="735"/>
      <c r="M95" s="941"/>
      <c r="N95" s="735"/>
      <c r="O95" s="735"/>
      <c r="P95" s="735"/>
      <c r="Q95" s="1300">
        <v>-14.95</v>
      </c>
      <c r="R95" s="735"/>
    </row>
    <row r="96" spans="2:18" x14ac:dyDescent="0.2">
      <c r="B96" s="331" t="s">
        <v>1327</v>
      </c>
      <c r="C96" s="12"/>
      <c r="D96" s="12"/>
      <c r="E96" s="12"/>
      <c r="F96" s="12"/>
      <c r="G96" s="12"/>
      <c r="H96" s="302"/>
      <c r="I96" s="302"/>
      <c r="J96" s="303"/>
      <c r="K96" s="735"/>
      <c r="L96" s="735"/>
      <c r="M96" s="941"/>
      <c r="N96" s="735"/>
      <c r="O96" s="735"/>
      <c r="P96" s="735"/>
      <c r="Q96" s="1299">
        <v>-33</v>
      </c>
      <c r="R96" s="735"/>
    </row>
    <row r="97" spans="2:18" x14ac:dyDescent="0.2">
      <c r="B97" s="330" t="s">
        <v>1328</v>
      </c>
      <c r="C97" s="12"/>
      <c r="D97" s="12"/>
      <c r="E97" s="12"/>
      <c r="F97" s="12"/>
      <c r="G97" s="12"/>
      <c r="H97" s="302"/>
      <c r="I97" s="302"/>
      <c r="J97" s="303"/>
      <c r="K97" s="735"/>
      <c r="L97" s="735"/>
      <c r="M97" s="941"/>
      <c r="N97" s="735"/>
      <c r="O97" s="735"/>
      <c r="P97" s="735"/>
      <c r="Q97" s="1300">
        <v>-21.94</v>
      </c>
      <c r="R97" s="735"/>
    </row>
    <row r="98" spans="2:18" x14ac:dyDescent="0.2">
      <c r="B98" s="331" t="s">
        <v>1329</v>
      </c>
      <c r="C98" s="12"/>
      <c r="D98" s="12"/>
      <c r="E98" s="12"/>
      <c r="F98" s="12"/>
      <c r="G98" s="12"/>
      <c r="H98" s="302"/>
      <c r="I98" s="302"/>
      <c r="J98" s="303"/>
      <c r="K98" s="735"/>
      <c r="L98" s="735"/>
      <c r="M98" s="941"/>
      <c r="N98" s="735"/>
      <c r="O98" s="735"/>
      <c r="P98" s="735"/>
      <c r="Q98" s="1299">
        <v>-67.05</v>
      </c>
      <c r="R98" s="735"/>
    </row>
    <row r="99" spans="2:18" x14ac:dyDescent="0.2">
      <c r="B99" s="330" t="s">
        <v>1330</v>
      </c>
      <c r="C99" s="12"/>
      <c r="D99" s="12"/>
      <c r="E99" s="12"/>
      <c r="F99" s="12"/>
      <c r="G99" s="12"/>
      <c r="H99" s="302"/>
      <c r="I99" s="302"/>
      <c r="J99" s="303"/>
      <c r="K99" s="735"/>
      <c r="L99" s="735"/>
      <c r="M99" s="941"/>
      <c r="N99" s="735"/>
      <c r="O99" s="735"/>
      <c r="P99" s="735"/>
      <c r="Q99" s="1300">
        <v>-20.8</v>
      </c>
      <c r="R99" s="735"/>
    </row>
    <row r="100" spans="2:18" x14ac:dyDescent="0.2">
      <c r="B100" s="331" t="s">
        <v>1331</v>
      </c>
      <c r="C100" s="12"/>
      <c r="D100" s="12"/>
      <c r="E100" s="12"/>
      <c r="F100" s="12"/>
      <c r="G100" s="12"/>
      <c r="H100" s="302"/>
      <c r="I100" s="302"/>
      <c r="J100" s="303"/>
      <c r="K100" s="735"/>
      <c r="L100" s="735"/>
      <c r="M100" s="941"/>
      <c r="N100" s="735"/>
      <c r="O100" s="735"/>
      <c r="P100" s="735"/>
      <c r="Q100" s="1299">
        <v>-2.79</v>
      </c>
      <c r="R100" s="735"/>
    </row>
    <row r="101" spans="2:18" x14ac:dyDescent="0.2">
      <c r="B101" s="330" t="s">
        <v>1332</v>
      </c>
      <c r="C101" s="12"/>
      <c r="D101" s="12"/>
      <c r="E101" s="12"/>
      <c r="F101" s="12"/>
      <c r="G101" s="12"/>
      <c r="H101" s="302"/>
      <c r="I101" s="302"/>
      <c r="J101" s="303"/>
      <c r="K101" s="735"/>
      <c r="L101" s="735"/>
      <c r="M101" s="941"/>
      <c r="N101" s="735"/>
      <c r="O101" s="735"/>
      <c r="P101" s="735"/>
      <c r="Q101" s="1300">
        <v>-60</v>
      </c>
      <c r="R101" s="735"/>
    </row>
    <row r="102" spans="2:18" x14ac:dyDescent="0.2">
      <c r="B102" s="330"/>
      <c r="C102" s="12"/>
      <c r="D102" s="12"/>
      <c r="E102" s="12"/>
      <c r="F102" s="12"/>
      <c r="G102" s="12"/>
      <c r="H102" s="302"/>
      <c r="I102" s="302"/>
      <c r="J102" s="303"/>
      <c r="K102" s="735"/>
      <c r="L102" s="735"/>
      <c r="M102" s="941"/>
      <c r="N102" s="735"/>
      <c r="O102" s="735"/>
      <c r="P102" s="735"/>
      <c r="Q102" s="735"/>
      <c r="R102" s="735"/>
    </row>
    <row r="103" spans="2:18" x14ac:dyDescent="0.2">
      <c r="B103" s="330"/>
      <c r="C103" s="12"/>
      <c r="D103" s="12"/>
      <c r="E103" s="12"/>
      <c r="F103" s="12"/>
      <c r="G103" s="12"/>
      <c r="H103" s="302"/>
      <c r="I103" s="302"/>
      <c r="J103" s="303"/>
      <c r="K103" s="735"/>
      <c r="L103" s="735"/>
      <c r="M103" s="941"/>
      <c r="N103" s="735"/>
      <c r="O103" s="735"/>
      <c r="P103" s="735"/>
      <c r="Q103" s="735"/>
      <c r="R103" s="735"/>
    </row>
    <row r="104" spans="2:18" x14ac:dyDescent="0.2">
      <c r="B104" s="330"/>
      <c r="C104" s="12"/>
      <c r="D104" s="12"/>
      <c r="E104" s="12"/>
      <c r="F104" s="12"/>
      <c r="G104" s="12"/>
      <c r="H104" s="302"/>
      <c r="I104" s="302"/>
      <c r="J104" s="303"/>
      <c r="K104" s="735"/>
      <c r="L104" s="735"/>
      <c r="M104" s="941"/>
      <c r="N104" s="735"/>
      <c r="O104" s="735"/>
      <c r="P104" s="735"/>
      <c r="Q104" s="735"/>
      <c r="R104" s="735"/>
    </row>
    <row r="105" spans="2:18" x14ac:dyDescent="0.2">
      <c r="B105" s="330"/>
      <c r="C105" s="12"/>
      <c r="D105" s="12"/>
      <c r="E105" s="12"/>
      <c r="F105" s="12"/>
      <c r="G105" s="12"/>
      <c r="H105" s="302"/>
      <c r="I105" s="302"/>
      <c r="J105" s="303"/>
      <c r="K105" s="735"/>
      <c r="L105" s="735"/>
      <c r="M105" s="941"/>
      <c r="N105" s="735"/>
      <c r="O105" s="735"/>
      <c r="P105" s="735"/>
      <c r="Q105" s="735"/>
      <c r="R105" s="735"/>
    </row>
    <row r="106" spans="2:18" x14ac:dyDescent="0.2">
      <c r="B106" s="330"/>
      <c r="C106" s="12"/>
      <c r="D106" s="12"/>
      <c r="E106" s="12"/>
      <c r="F106" s="12"/>
      <c r="G106" s="12"/>
      <c r="H106" s="302"/>
      <c r="I106" s="302"/>
      <c r="J106" s="303"/>
      <c r="K106" s="735"/>
      <c r="L106" s="735"/>
      <c r="M106" s="941"/>
      <c r="N106" s="735"/>
      <c r="O106" s="735"/>
      <c r="P106" s="735"/>
      <c r="Q106" s="735"/>
      <c r="R106" s="735"/>
    </row>
    <row r="107" spans="2:18" x14ac:dyDescent="0.2">
      <c r="B107" s="330"/>
      <c r="C107" s="12"/>
      <c r="D107" s="12"/>
      <c r="E107" s="12"/>
      <c r="F107" s="12"/>
      <c r="G107" s="12"/>
      <c r="H107" s="302"/>
      <c r="I107" s="302"/>
      <c r="J107" s="303"/>
      <c r="K107" s="735"/>
      <c r="L107" s="735"/>
      <c r="M107" s="941"/>
      <c r="N107" s="735"/>
      <c r="O107" s="735"/>
      <c r="P107" s="735"/>
      <c r="Q107" s="735"/>
      <c r="R107" s="735"/>
    </row>
    <row r="108" spans="2:18" x14ac:dyDescent="0.2">
      <c r="B108" s="330"/>
      <c r="C108" s="12"/>
      <c r="D108" s="12"/>
      <c r="E108" s="12"/>
      <c r="F108" s="12"/>
      <c r="G108" s="12"/>
      <c r="H108" s="302"/>
      <c r="I108" s="302"/>
      <c r="J108" s="303"/>
      <c r="K108" s="735"/>
      <c r="L108" s="735"/>
      <c r="M108" s="941"/>
      <c r="N108" s="735"/>
      <c r="O108" s="735"/>
      <c r="P108" s="735"/>
      <c r="Q108" s="735"/>
      <c r="R108" s="939">
        <v>-400</v>
      </c>
    </row>
    <row r="109" spans="2:18" ht="16" thickBot="1" x14ac:dyDescent="0.25">
      <c r="B109" s="884"/>
      <c r="C109" s="884">
        <f t="shared" ref="C109:J109" si="0">SUM(C5:C74)</f>
        <v>0</v>
      </c>
      <c r="D109" s="884">
        <f t="shared" si="0"/>
        <v>-5036.8600000000006</v>
      </c>
      <c r="E109" s="884">
        <f t="shared" si="0"/>
        <v>-1547.2740000000001</v>
      </c>
      <c r="F109" s="884">
        <f t="shared" si="0"/>
        <v>-1012.6500000000001</v>
      </c>
      <c r="G109" s="884">
        <f t="shared" si="0"/>
        <v>-1466</v>
      </c>
      <c r="H109" s="884">
        <f t="shared" si="0"/>
        <v>-705</v>
      </c>
      <c r="I109" s="884">
        <f t="shared" si="0"/>
        <v>-789.59999999999991</v>
      </c>
      <c r="J109" s="884">
        <f t="shared" si="0"/>
        <v>-1134.82</v>
      </c>
      <c r="K109" s="942">
        <f t="shared" ref="K109:R109" si="1">SUM(K5:K108)</f>
        <v>-649.69000000000005</v>
      </c>
      <c r="L109" s="942">
        <f t="shared" si="1"/>
        <v>-1077.28</v>
      </c>
      <c r="M109" s="942">
        <f t="shared" si="1"/>
        <v>-423.61999999999995</v>
      </c>
      <c r="N109" s="942">
        <f t="shared" si="1"/>
        <v>-372</v>
      </c>
      <c r="O109" s="942">
        <f t="shared" si="1"/>
        <v>-349.58</v>
      </c>
      <c r="P109" s="1077">
        <f t="shared" si="1"/>
        <v>-235</v>
      </c>
      <c r="Q109" s="1077">
        <f t="shared" si="1"/>
        <v>-302.36</v>
      </c>
      <c r="R109" s="971">
        <f t="shared" si="1"/>
        <v>-400</v>
      </c>
    </row>
    <row r="110" spans="2:18" ht="16" thickTop="1" x14ac:dyDescent="0.2"/>
  </sheetData>
  <mergeCells count="9">
    <mergeCell ref="D4:N4"/>
    <mergeCell ref="B1:R1"/>
    <mergeCell ref="B2:R2"/>
    <mergeCell ref="C5:C16"/>
    <mergeCell ref="H5:H16"/>
    <mergeCell ref="J5:J16"/>
    <mergeCell ref="I3:J3"/>
    <mergeCell ref="G3:H3"/>
    <mergeCell ref="O3:Q3"/>
  </mergeCells>
  <conditionalFormatting sqref="A3 A5 A7 A9 A11 A13 A15 A17 A19 A21 A23 A25 A27 A29 A31 A33 A35 A37 A39 A41 A43 A45 A47 A49 A51 A53 A55 A57 A59 A61 A63 A65 A67 A69 A72 A74">
    <cfRule type="cellIs" dxfId="28" priority="14" operator="equal">
      <formula>0</formula>
    </cfRule>
  </conditionalFormatting>
  <conditionalFormatting sqref="A1:B1">
    <cfRule type="cellIs" dxfId="27" priority="13" operator="equal">
      <formula>0</formula>
    </cfRule>
  </conditionalFormatting>
  <conditionalFormatting sqref="B32:D35">
    <cfRule type="cellIs" dxfId="26" priority="23" operator="lessThan">
      <formula>0.01</formula>
    </cfRule>
  </conditionalFormatting>
  <conditionalFormatting sqref="B40:E43">
    <cfRule type="cellIs" dxfId="25" priority="25" operator="lessThan">
      <formula>0.01</formula>
    </cfRule>
  </conditionalFormatting>
  <conditionalFormatting sqref="D9:D16">
    <cfRule type="cellIs" dxfId="24" priority="18" operator="lessThan">
      <formula>0.01</formula>
    </cfRule>
  </conditionalFormatting>
  <conditionalFormatting sqref="E5:E9 B7 D7 B9 E17:E18 B18:D21 C22:D30 E35:E37 B36:C37 B38:E38">
    <cfRule type="cellIs" dxfId="23" priority="26" operator="lessThan">
      <formula>0.01</formula>
    </cfRule>
  </conditionalFormatting>
  <conditionalFormatting sqref="E31">
    <cfRule type="cellIs" dxfId="22" priority="17" operator="lessThan">
      <formula>0.01</formula>
    </cfRule>
  </conditionalFormatting>
  <hyperlinks>
    <hyperlink ref="B1" location="Summary!A1" display="Summary!A1" xr:uid="{F549DB91-BB0C-4BB3-9EBD-1A2D8504B7EC}"/>
    <hyperlink ref="R109" location="Summary!T51" display="Summary!T51" xr:uid="{5456357E-2EF8-4FC3-B2D6-173F12AF7FA2}"/>
  </hyperlinks>
  <printOptions horizontalCentered="1"/>
  <pageMargins left="0.70866141732283472" right="0.15748031496062992" top="0.31496062992125984" bottom="0.35433070866141736"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rgb="FF00FF00"/>
    <pageSetUpPr fitToPage="1"/>
  </sheetPr>
  <dimension ref="A1:T18"/>
  <sheetViews>
    <sheetView zoomScaleNormal="100" zoomScaleSheetLayoutView="100" workbookViewId="0">
      <pane xSplit="2" ySplit="3" topLeftCell="C4" activePane="bottomRight" state="frozen"/>
      <selection activeCell="R7" sqref="R7"/>
      <selection pane="topRight" activeCell="R7" sqref="R7"/>
      <selection pane="bottomLeft" activeCell="R7" sqref="R7"/>
      <selection pane="bottomRight" activeCell="R7" sqref="R7"/>
    </sheetView>
  </sheetViews>
  <sheetFormatPr baseColWidth="10" defaultColWidth="9.1640625" defaultRowHeight="14" x14ac:dyDescent="0.2"/>
  <cols>
    <col min="1" max="1" width="3.83203125" style="2087" customWidth="1"/>
    <col min="2" max="2" width="32.33203125" style="2062" bestFit="1" customWidth="1"/>
    <col min="3" max="3" width="6.33203125" style="2088" bestFit="1" customWidth="1"/>
    <col min="4" max="4" width="6.5" style="2090" hidden="1" customWidth="1"/>
    <col min="5" max="7" width="8.33203125" style="2090" hidden="1" customWidth="1"/>
    <col min="8" max="8" width="6" style="2087" hidden="1" customWidth="1"/>
    <col min="9" max="9" width="8.33203125" style="2087" hidden="1" customWidth="1"/>
    <col min="10" max="10" width="9.33203125" style="2087" hidden="1" customWidth="1"/>
    <col min="11" max="11" width="7.33203125" style="2087" hidden="1" customWidth="1"/>
    <col min="12" max="12" width="9.1640625" style="2087" customWidth="1"/>
    <col min="13" max="13" width="6.33203125" style="2087" bestFit="1" customWidth="1"/>
    <col min="14" max="16" width="8.6640625" style="2087" customWidth="1"/>
    <col min="17" max="17" width="10.5" style="2087" bestFit="1" customWidth="1"/>
    <col min="18" max="18" width="25.6640625" style="2087" bestFit="1" customWidth="1"/>
    <col min="19" max="19" width="27.83203125" style="2087" bestFit="1" customWidth="1"/>
    <col min="20" max="20" width="8.83203125" style="2087" bestFit="1" customWidth="1"/>
    <col min="21" max="16384" width="9.1640625" style="2087"/>
  </cols>
  <sheetData>
    <row r="1" spans="1:20" s="2086" customFormat="1" ht="24" x14ac:dyDescent="0.2">
      <c r="A1" s="1912"/>
      <c r="B1" s="2584" t="s">
        <v>725</v>
      </c>
      <c r="C1" s="2584"/>
      <c r="D1" s="2584"/>
      <c r="E1" s="2584"/>
      <c r="F1" s="2584"/>
      <c r="G1" s="2584"/>
      <c r="H1" s="2584"/>
      <c r="I1" s="2584"/>
      <c r="J1" s="2584"/>
      <c r="K1" s="2584"/>
      <c r="L1" s="2584"/>
      <c r="M1" s="2584"/>
      <c r="N1" s="2584"/>
      <c r="O1" s="2584"/>
      <c r="P1" s="1929"/>
      <c r="Q1" s="1683"/>
    </row>
    <row r="2" spans="1:20" x14ac:dyDescent="0.2">
      <c r="B2" s="2583" t="s">
        <v>321</v>
      </c>
      <c r="C2" s="2583"/>
      <c r="D2" s="2583"/>
      <c r="E2" s="2583"/>
      <c r="F2" s="2583"/>
      <c r="G2" s="2583"/>
      <c r="H2" s="2583"/>
      <c r="I2" s="2583"/>
      <c r="J2" s="2583"/>
      <c r="K2" s="2583"/>
      <c r="L2" s="2583"/>
      <c r="M2" s="2583"/>
      <c r="N2" s="2583"/>
      <c r="O2" s="2583"/>
      <c r="P2" s="2089"/>
    </row>
    <row r="3" spans="1:20" s="2088" customFormat="1" ht="15" x14ac:dyDescent="0.2">
      <c r="B3" s="1406" t="s">
        <v>320</v>
      </c>
      <c r="C3" s="311"/>
      <c r="D3" s="311">
        <v>2014</v>
      </c>
      <c r="E3" s="311">
        <v>2015</v>
      </c>
      <c r="F3" s="311">
        <v>2016</v>
      </c>
      <c r="G3" s="311">
        <v>2017</v>
      </c>
      <c r="H3" s="311">
        <v>2018</v>
      </c>
      <c r="I3" s="311">
        <v>2019</v>
      </c>
      <c r="J3" s="311">
        <v>2020</v>
      </c>
      <c r="K3" s="311">
        <v>2021</v>
      </c>
      <c r="L3" s="2582" t="s">
        <v>481</v>
      </c>
      <c r="M3" s="2582"/>
      <c r="N3" s="2582"/>
      <c r="O3" s="1606" t="s">
        <v>519</v>
      </c>
      <c r="Q3" s="2087"/>
      <c r="R3" s="2087"/>
      <c r="S3" s="2087"/>
      <c r="T3" s="2087"/>
    </row>
    <row r="4" spans="1:20" x14ac:dyDescent="0.2">
      <c r="A4" s="2088"/>
      <c r="B4" s="1406"/>
      <c r="C4" s="311"/>
      <c r="D4" s="2580" t="s">
        <v>481</v>
      </c>
      <c r="E4" s="2580"/>
      <c r="F4" s="2580"/>
      <c r="G4" s="2580"/>
      <c r="H4" s="2580"/>
      <c r="I4" s="2580"/>
      <c r="J4" s="2580"/>
      <c r="K4" s="2580"/>
      <c r="L4" s="311">
        <v>2022</v>
      </c>
      <c r="M4" s="1607">
        <v>2023</v>
      </c>
      <c r="N4" s="311">
        <v>2024</v>
      </c>
      <c r="O4" s="1607">
        <v>2025</v>
      </c>
      <c r="P4" s="2088"/>
    </row>
    <row r="5" spans="1:20" x14ac:dyDescent="0.2">
      <c r="B5" s="119" t="s">
        <v>318</v>
      </c>
      <c r="C5" s="312"/>
      <c r="D5" s="943"/>
      <c r="E5" s="943"/>
      <c r="F5" s="943">
        <v>-145</v>
      </c>
      <c r="G5" s="944"/>
      <c r="H5" s="944"/>
      <c r="I5" s="944"/>
      <c r="J5" s="944"/>
      <c r="K5" s="944"/>
      <c r="L5" s="944"/>
      <c r="M5" s="2581">
        <v>-180</v>
      </c>
      <c r="N5" s="1608"/>
      <c r="O5" s="1301"/>
    </row>
    <row r="6" spans="1:20" x14ac:dyDescent="0.2">
      <c r="B6" s="119" t="s">
        <v>319</v>
      </c>
      <c r="C6" s="312"/>
      <c r="D6" s="943"/>
      <c r="E6" s="943"/>
      <c r="F6" s="943">
        <v>-244.44</v>
      </c>
      <c r="G6" s="943"/>
      <c r="H6" s="943"/>
      <c r="I6" s="943"/>
      <c r="J6" s="943"/>
      <c r="K6" s="943"/>
      <c r="L6" s="943"/>
      <c r="M6" s="2581"/>
      <c r="N6" s="1608"/>
      <c r="O6" s="1301"/>
    </row>
    <row r="7" spans="1:20" x14ac:dyDescent="0.2">
      <c r="B7" s="119" t="s">
        <v>41</v>
      </c>
      <c r="C7" s="312"/>
      <c r="D7" s="943"/>
      <c r="E7" s="943">
        <v>-265.12</v>
      </c>
      <c r="F7" s="943"/>
      <c r="G7" s="943"/>
      <c r="H7" s="943"/>
      <c r="I7" s="943"/>
      <c r="J7" s="943"/>
      <c r="K7" s="943"/>
      <c r="L7" s="943"/>
      <c r="M7" s="2581"/>
      <c r="N7" s="1608"/>
      <c r="O7" s="1301"/>
    </row>
    <row r="8" spans="1:20" x14ac:dyDescent="0.2">
      <c r="B8" s="119" t="s">
        <v>41</v>
      </c>
      <c r="C8" s="312"/>
      <c r="D8" s="943">
        <v>0</v>
      </c>
      <c r="E8" s="943"/>
      <c r="F8" s="943"/>
      <c r="G8" s="943">
        <v>-447</v>
      </c>
      <c r="H8" s="945">
        <v>-398</v>
      </c>
      <c r="I8" s="945">
        <v>-280</v>
      </c>
      <c r="J8" s="945">
        <v>-360</v>
      </c>
      <c r="K8" s="945">
        <v>-360</v>
      </c>
      <c r="L8" s="945"/>
      <c r="M8" s="2581"/>
      <c r="N8" s="1608"/>
      <c r="O8" s="1301"/>
    </row>
    <row r="9" spans="1:20" x14ac:dyDescent="0.2">
      <c r="B9" s="119" t="s">
        <v>1034</v>
      </c>
      <c r="C9" s="312"/>
      <c r="D9" s="943"/>
      <c r="E9" s="943"/>
      <c r="F9" s="943"/>
      <c r="G9" s="943"/>
      <c r="H9" s="945"/>
      <c r="I9" s="945"/>
      <c r="J9" s="945"/>
      <c r="K9" s="945"/>
      <c r="L9" s="945">
        <v>-344.66999999999996</v>
      </c>
      <c r="M9" s="2581"/>
      <c r="N9" s="1608"/>
      <c r="O9" s="1301"/>
    </row>
    <row r="10" spans="1:20" ht="15" x14ac:dyDescent="0.2">
      <c r="B10" s="119" t="s">
        <v>1035</v>
      </c>
      <c r="C10" s="312"/>
      <c r="D10" s="943"/>
      <c r="E10" s="943"/>
      <c r="F10" s="943"/>
      <c r="G10" s="943"/>
      <c r="H10" s="945"/>
      <c r="I10" s="945"/>
      <c r="J10" s="945"/>
      <c r="K10" s="945"/>
      <c r="L10" s="945">
        <v>-439.86</v>
      </c>
      <c r="M10" s="2581"/>
      <c r="N10" s="1608"/>
      <c r="O10" s="1301"/>
      <c r="Q10" s="1218">
        <v>45458</v>
      </c>
      <c r="R10" s="330" t="s">
        <v>1319</v>
      </c>
      <c r="S10" s="330" t="s">
        <v>1333</v>
      </c>
      <c r="T10" s="2021">
        <v>-343.4</v>
      </c>
    </row>
    <row r="11" spans="1:20" x14ac:dyDescent="0.2">
      <c r="B11" s="119"/>
      <c r="C11" s="312"/>
      <c r="D11" s="943"/>
      <c r="E11" s="943"/>
      <c r="F11" s="943"/>
      <c r="G11" s="943"/>
      <c r="H11" s="945"/>
      <c r="I11" s="945"/>
      <c r="J11" s="945"/>
      <c r="K11" s="945"/>
      <c r="L11" s="945"/>
      <c r="M11" s="2581"/>
      <c r="N11" s="1608"/>
      <c r="O11" s="1301"/>
    </row>
    <row r="12" spans="1:20" x14ac:dyDescent="0.2">
      <c r="B12" s="119"/>
      <c r="C12" s="312"/>
      <c r="D12" s="943"/>
      <c r="E12" s="943"/>
      <c r="F12" s="943"/>
      <c r="G12" s="943"/>
      <c r="H12" s="945"/>
      <c r="I12" s="945"/>
      <c r="J12" s="945"/>
      <c r="K12" s="945"/>
      <c r="L12" s="945"/>
      <c r="M12" s="2581"/>
      <c r="N12" s="1608"/>
      <c r="O12" s="1301"/>
    </row>
    <row r="13" spans="1:20" x14ac:dyDescent="0.2">
      <c r="B13" s="119"/>
      <c r="C13" s="312"/>
      <c r="D13" s="943"/>
      <c r="E13" s="943"/>
      <c r="F13" s="943"/>
      <c r="G13" s="943"/>
      <c r="H13" s="945"/>
      <c r="I13" s="945"/>
      <c r="J13" s="945"/>
      <c r="K13" s="945"/>
      <c r="L13" s="945"/>
      <c r="M13" s="2581"/>
      <c r="N13" s="1608"/>
      <c r="O13" s="1301"/>
    </row>
    <row r="14" spans="1:20" x14ac:dyDescent="0.2">
      <c r="B14" s="119"/>
      <c r="C14" s="312"/>
      <c r="D14" s="943"/>
      <c r="E14" s="943"/>
      <c r="F14" s="943"/>
      <c r="G14" s="943"/>
      <c r="H14" s="945"/>
      <c r="I14" s="945"/>
      <c r="J14" s="945"/>
      <c r="K14" s="945"/>
      <c r="L14" s="945"/>
      <c r="M14" s="2581"/>
      <c r="N14" s="1608"/>
      <c r="O14" s="1301"/>
    </row>
    <row r="15" spans="1:20" x14ac:dyDescent="0.2">
      <c r="B15" s="119"/>
      <c r="C15" s="312"/>
      <c r="D15" s="943"/>
      <c r="E15" s="943"/>
      <c r="F15" s="943"/>
      <c r="G15" s="943"/>
      <c r="H15" s="945"/>
      <c r="I15" s="945"/>
      <c r="J15" s="945"/>
      <c r="K15" s="945"/>
      <c r="L15" s="945"/>
      <c r="M15" s="2581"/>
      <c r="N15" s="1608"/>
      <c r="O15" s="1301"/>
    </row>
    <row r="16" spans="1:20" x14ac:dyDescent="0.2">
      <c r="B16" s="119"/>
      <c r="C16" s="312"/>
      <c r="D16" s="943"/>
      <c r="E16" s="943"/>
      <c r="F16" s="943"/>
      <c r="G16" s="943"/>
      <c r="H16" s="945"/>
      <c r="I16" s="945"/>
      <c r="J16" s="945"/>
      <c r="K16" s="945"/>
      <c r="L16" s="945"/>
      <c r="M16" s="2581"/>
      <c r="N16" s="1609">
        <v>-343.4</v>
      </c>
      <c r="O16" s="1302">
        <v>-500</v>
      </c>
    </row>
    <row r="17" spans="2:16" ht="16" thickBot="1" x14ac:dyDescent="0.25">
      <c r="B17" s="1407"/>
      <c r="C17" s="313"/>
      <c r="D17" s="946">
        <f>SUM(D5:D16)</f>
        <v>0</v>
      </c>
      <c r="E17" s="946">
        <f t="shared" ref="E17:N17" si="0">SUM(E5:E16)</f>
        <v>-265.12</v>
      </c>
      <c r="F17" s="946">
        <f t="shared" si="0"/>
        <v>-389.44</v>
      </c>
      <c r="G17" s="946">
        <f t="shared" si="0"/>
        <v>-447</v>
      </c>
      <c r="H17" s="946">
        <f t="shared" si="0"/>
        <v>-398</v>
      </c>
      <c r="I17" s="946">
        <f t="shared" si="0"/>
        <v>-280</v>
      </c>
      <c r="J17" s="946">
        <f t="shared" si="0"/>
        <v>-360</v>
      </c>
      <c r="K17" s="946">
        <f t="shared" si="0"/>
        <v>-360</v>
      </c>
      <c r="L17" s="946">
        <f t="shared" si="0"/>
        <v>-784.53</v>
      </c>
      <c r="M17" s="1610">
        <f t="shared" si="0"/>
        <v>-180</v>
      </c>
      <c r="N17" s="1610">
        <f t="shared" si="0"/>
        <v>-343.4</v>
      </c>
      <c r="O17" s="1611">
        <f>SUM(O5:O16)</f>
        <v>-500</v>
      </c>
      <c r="P17" s="2062"/>
    </row>
    <row r="18" spans="2:16" ht="15" thickTop="1" x14ac:dyDescent="0.2"/>
  </sheetData>
  <mergeCells count="5">
    <mergeCell ref="D4:K4"/>
    <mergeCell ref="M5:M16"/>
    <mergeCell ref="L3:N3"/>
    <mergeCell ref="B2:O2"/>
    <mergeCell ref="B1:O1"/>
  </mergeCells>
  <phoneticPr fontId="52" type="noConversion"/>
  <conditionalFormatting sqref="A1:B1">
    <cfRule type="cellIs" dxfId="21" priority="1" operator="equal">
      <formula>0</formula>
    </cfRule>
  </conditionalFormatting>
  <hyperlinks>
    <hyperlink ref="B1" location="Summary!A1" display="Summary!A1" xr:uid="{5C022FD9-844F-4858-9426-D42F99A36802}"/>
    <hyperlink ref="O17" location="Summary!T52" display="Summary!T52" xr:uid="{138E567B-870F-4477-AE19-C81D340E5DE3}"/>
  </hyperlinks>
  <printOptions horizontalCentered="1"/>
  <pageMargins left="0.70866141732283472" right="0" top="0.51181102362204722" bottom="0.15748031496062992" header="0.27559055118110237"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rgb="FF00FF00"/>
    <pageSetUpPr fitToPage="1"/>
  </sheetPr>
  <dimension ref="B1:AN42"/>
  <sheetViews>
    <sheetView zoomScaleNormal="100" zoomScaleSheetLayoutView="100" workbookViewId="0">
      <pane xSplit="2" ySplit="4" topLeftCell="C5"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3.6640625" style="2" customWidth="1"/>
    <col min="2" max="2" width="35" style="2" customWidth="1"/>
    <col min="3" max="3" width="15.1640625" style="274" hidden="1" customWidth="1"/>
    <col min="4" max="4" width="16.5" style="2" hidden="1" customWidth="1"/>
    <col min="5" max="5" width="7.1640625" style="274" hidden="1" customWidth="1"/>
    <col min="6" max="7" width="8.1640625" style="43" hidden="1" customWidth="1"/>
    <col min="8" max="8" width="6.33203125" style="43" hidden="1" customWidth="1"/>
    <col min="9" max="9" width="6.33203125" style="2" hidden="1" customWidth="1"/>
    <col min="10" max="10" width="1.1640625" style="2" hidden="1" customWidth="1"/>
    <col min="11" max="11" width="9.83203125" style="2" hidden="1" customWidth="1"/>
    <col min="12" max="12" width="3" style="2" hidden="1" customWidth="1"/>
    <col min="13" max="13" width="10.5" style="2" hidden="1" customWidth="1"/>
    <col min="14" max="14" width="11.1640625" style="2" hidden="1" customWidth="1"/>
    <col min="15" max="15" width="6.33203125" style="2" hidden="1" customWidth="1"/>
    <col min="16" max="16" width="20.6640625" style="2" hidden="1" customWidth="1"/>
    <col min="17" max="17" width="13.83203125" style="2" hidden="1" customWidth="1"/>
    <col min="18" max="18" width="8.83203125" style="2" hidden="1" customWidth="1"/>
    <col min="19" max="19" width="10.5" style="2" hidden="1" customWidth="1"/>
    <col min="20" max="20" width="11.1640625" style="2" hidden="1" customWidth="1"/>
    <col min="21" max="21" width="6.33203125" style="2" hidden="1" customWidth="1"/>
    <col min="22" max="22" width="19.83203125" style="2" hidden="1" customWidth="1"/>
    <col min="23" max="23" width="13.83203125" style="2" hidden="1" customWidth="1"/>
    <col min="24" max="24" width="3" style="2" hidden="1" customWidth="1"/>
    <col min="25" max="26" width="8.83203125" style="2" hidden="1" customWidth="1"/>
    <col min="27" max="27" width="7.83203125" style="2" hidden="1" customWidth="1"/>
    <col min="28" max="28" width="9.5" style="2" hidden="1" customWidth="1"/>
    <col min="29" max="29" width="8.5" style="2" hidden="1" customWidth="1"/>
    <col min="30" max="30" width="23.33203125" style="2" hidden="1" customWidth="1"/>
    <col min="31" max="31" width="6.83203125" style="2" hidden="1" customWidth="1"/>
    <col min="32" max="34" width="6.33203125" style="2" bestFit="1" customWidth="1"/>
    <col min="35" max="35" width="7.83203125" style="2" bestFit="1" customWidth="1"/>
    <col min="36" max="36" width="8.83203125" style="2"/>
    <col min="37" max="38" width="10.5" style="2" bestFit="1" customWidth="1"/>
    <col min="39" max="39" width="36.5" style="2" bestFit="1" customWidth="1"/>
    <col min="40" max="40" width="8.6640625" style="2" bestFit="1" customWidth="1"/>
    <col min="41" max="16384" width="8.83203125" style="2"/>
  </cols>
  <sheetData>
    <row r="1" spans="2:35" s="1683" customFormat="1" ht="24" x14ac:dyDescent="0.2">
      <c r="B1" s="2289" t="s">
        <v>725</v>
      </c>
      <c r="C1" s="2289"/>
      <c r="D1" s="2289"/>
      <c r="E1" s="2289"/>
      <c r="F1" s="2289"/>
      <c r="G1" s="2289"/>
      <c r="H1" s="2289"/>
      <c r="I1" s="2289"/>
      <c r="J1" s="2289"/>
      <c r="K1" s="2289"/>
      <c r="L1" s="2289"/>
      <c r="M1" s="2289"/>
      <c r="N1" s="2289"/>
      <c r="O1" s="2289"/>
      <c r="P1" s="2289"/>
      <c r="Q1" s="2289"/>
      <c r="R1" s="2289"/>
      <c r="S1" s="2289"/>
      <c r="T1" s="2289"/>
      <c r="U1" s="2289"/>
      <c r="V1" s="2289"/>
      <c r="W1" s="2289"/>
      <c r="X1" s="2289"/>
      <c r="Y1" s="2289"/>
      <c r="Z1" s="2289"/>
      <c r="AA1" s="2289"/>
      <c r="AB1" s="2289"/>
      <c r="AC1" s="2289"/>
      <c r="AD1" s="2289"/>
      <c r="AE1" s="2289"/>
      <c r="AF1" s="2289"/>
      <c r="AG1" s="2289"/>
      <c r="AH1" s="2289"/>
      <c r="AI1" s="2289"/>
    </row>
    <row r="2" spans="2:35" ht="16" x14ac:dyDescent="0.2">
      <c r="B2" s="2413" t="s">
        <v>42</v>
      </c>
      <c r="C2" s="2413"/>
      <c r="D2" s="2413"/>
      <c r="E2" s="2413"/>
      <c r="F2" s="2413"/>
      <c r="G2" s="2413"/>
      <c r="H2" s="2413"/>
      <c r="I2" s="2413"/>
      <c r="J2" s="2413"/>
      <c r="K2" s="2413"/>
      <c r="L2" s="2413"/>
      <c r="M2" s="2413"/>
      <c r="N2" s="2413"/>
      <c r="O2" s="2413"/>
      <c r="P2" s="2413"/>
      <c r="Q2" s="2413"/>
      <c r="R2" s="2413"/>
      <c r="S2" s="2413"/>
      <c r="T2" s="2413"/>
      <c r="U2" s="2413"/>
      <c r="V2" s="2413"/>
      <c r="W2" s="2413"/>
      <c r="X2" s="2413"/>
      <c r="Y2" s="2413"/>
      <c r="Z2" s="2413"/>
      <c r="AA2" s="2413"/>
      <c r="AB2" s="2413"/>
      <c r="AC2" s="2413"/>
      <c r="AD2" s="2413"/>
      <c r="AE2" s="2413"/>
      <c r="AF2" s="2413"/>
      <c r="AG2" s="2413"/>
      <c r="AH2" s="2413"/>
      <c r="AI2" s="2413"/>
    </row>
    <row r="3" spans="2:35" x14ac:dyDescent="0.2">
      <c r="B3" s="297" t="s">
        <v>160</v>
      </c>
      <c r="C3" s="297" t="s">
        <v>331</v>
      </c>
      <c r="D3" s="297" t="s">
        <v>333</v>
      </c>
      <c r="E3" s="297" t="s">
        <v>164</v>
      </c>
      <c r="F3" s="297">
        <v>2014</v>
      </c>
      <c r="G3" s="297">
        <v>2015</v>
      </c>
      <c r="H3" s="297">
        <v>2016</v>
      </c>
      <c r="I3" s="297">
        <v>2017</v>
      </c>
      <c r="J3" s="297"/>
      <c r="K3" s="1426"/>
      <c r="L3" s="1426">
        <v>2</v>
      </c>
      <c r="M3" s="1426" t="s">
        <v>323</v>
      </c>
      <c r="N3" s="297" t="s">
        <v>324</v>
      </c>
      <c r="O3" s="297"/>
      <c r="P3" s="1426" t="s">
        <v>325</v>
      </c>
      <c r="Q3" s="1426" t="s">
        <v>326</v>
      </c>
      <c r="R3" s="1426"/>
      <c r="S3" s="1426" t="s">
        <v>323</v>
      </c>
      <c r="T3" s="297" t="s">
        <v>324</v>
      </c>
      <c r="U3" s="297"/>
      <c r="V3" s="1426" t="s">
        <v>325</v>
      </c>
      <c r="W3" s="1426" t="s">
        <v>326</v>
      </c>
      <c r="X3" s="1426">
        <f>SUBTOTAL(9,X11:X39)</f>
        <v>15</v>
      </c>
      <c r="Y3" s="1426"/>
      <c r="Z3" s="1426"/>
      <c r="AA3" s="297">
        <v>2017</v>
      </c>
      <c r="AB3" s="297">
        <v>2018</v>
      </c>
      <c r="AC3" s="297">
        <v>2019</v>
      </c>
      <c r="AD3" s="297">
        <v>2020</v>
      </c>
      <c r="AE3" s="297">
        <v>2021</v>
      </c>
      <c r="AF3" s="2323" t="s">
        <v>481</v>
      </c>
      <c r="AG3" s="2323"/>
      <c r="AH3" s="2323"/>
      <c r="AI3" s="1473" t="s">
        <v>519</v>
      </c>
    </row>
    <row r="4" spans="2:35" ht="14.5" customHeight="1" x14ac:dyDescent="0.2">
      <c r="B4" s="69"/>
      <c r="C4" s="69"/>
      <c r="D4" s="69"/>
      <c r="E4" s="69"/>
      <c r="F4" s="69"/>
      <c r="G4" s="69"/>
      <c r="H4" s="69"/>
      <c r="I4" s="69"/>
      <c r="J4" s="69"/>
      <c r="K4" s="31"/>
      <c r="L4" s="70"/>
      <c r="M4" s="70"/>
      <c r="N4" s="71"/>
      <c r="O4" s="71"/>
      <c r="P4" s="70"/>
      <c r="Q4" s="70"/>
      <c r="R4" s="31"/>
      <c r="S4" s="70"/>
      <c r="T4" s="71"/>
      <c r="U4" s="71"/>
      <c r="V4" s="70"/>
      <c r="W4" s="70"/>
      <c r="X4" s="31"/>
      <c r="Y4" s="31"/>
      <c r="Z4" s="31"/>
      <c r="AA4" s="297">
        <v>2017</v>
      </c>
      <c r="AB4" s="297">
        <v>2018</v>
      </c>
      <c r="AC4" s="297">
        <v>2019</v>
      </c>
      <c r="AD4" s="297">
        <v>2020</v>
      </c>
      <c r="AE4" s="297">
        <v>2021</v>
      </c>
      <c r="AF4" s="812">
        <v>2022</v>
      </c>
      <c r="AG4" s="317">
        <v>2023</v>
      </c>
      <c r="AH4" s="317">
        <v>2024</v>
      </c>
      <c r="AI4" s="812">
        <v>2025</v>
      </c>
    </row>
    <row r="5" spans="2:35" ht="14.5" customHeight="1" x14ac:dyDescent="0.2">
      <c r="B5" s="73"/>
      <c r="C5" s="52"/>
      <c r="D5" s="21"/>
      <c r="E5" s="52"/>
      <c r="F5" s="38"/>
      <c r="G5" s="38"/>
      <c r="H5" s="911"/>
      <c r="I5" s="911"/>
      <c r="J5" s="73"/>
      <c r="K5" s="31"/>
      <c r="L5" s="70"/>
      <c r="M5" s="70"/>
      <c r="N5" s="71"/>
      <c r="O5" s="71"/>
      <c r="P5" s="70"/>
      <c r="Q5" s="70"/>
      <c r="R5" s="31"/>
      <c r="S5" s="70"/>
      <c r="T5" s="71"/>
      <c r="U5" s="71"/>
      <c r="V5" s="70"/>
      <c r="W5" s="70"/>
      <c r="X5" s="31"/>
      <c r="Y5" s="31"/>
      <c r="Z5" s="31"/>
      <c r="AA5" s="73"/>
      <c r="AB5" s="348" t="s">
        <v>648</v>
      </c>
      <c r="AC5" s="348" t="s">
        <v>690</v>
      </c>
      <c r="AD5" s="348" t="s">
        <v>834</v>
      </c>
      <c r="AE5" s="348" t="s">
        <v>885</v>
      </c>
      <c r="AF5" s="348"/>
      <c r="AG5" s="1087"/>
      <c r="AH5" s="1087"/>
      <c r="AI5" s="348"/>
    </row>
    <row r="6" spans="2:35" ht="14.5" hidden="1" customHeight="1" x14ac:dyDescent="0.2">
      <c r="B6" s="73"/>
      <c r="C6" s="52"/>
      <c r="D6" s="21"/>
      <c r="E6" s="52"/>
      <c r="F6" s="38"/>
      <c r="G6" s="38"/>
      <c r="H6" s="911"/>
      <c r="I6" s="911"/>
      <c r="J6" s="73"/>
      <c r="K6" s="31"/>
      <c r="L6" s="70"/>
      <c r="M6" s="70"/>
      <c r="N6" s="71"/>
      <c r="O6" s="71"/>
      <c r="P6" s="70"/>
      <c r="Q6" s="70"/>
      <c r="R6" s="31"/>
      <c r="S6" s="70"/>
      <c r="T6" s="71"/>
      <c r="U6" s="71"/>
      <c r="V6" s="70"/>
      <c r="W6" s="70"/>
      <c r="X6" s="31"/>
      <c r="Y6" s="31"/>
      <c r="Z6" s="31"/>
      <c r="AA6" s="458">
        <v>16.010000000000002</v>
      </c>
      <c r="AB6" s="355">
        <v>16.649999999999999</v>
      </c>
      <c r="AC6" s="355">
        <v>17.25</v>
      </c>
      <c r="AD6" s="355"/>
      <c r="AE6" s="355"/>
      <c r="AF6" s="355"/>
      <c r="AG6" s="1088"/>
      <c r="AH6" s="1088"/>
      <c r="AI6" s="355"/>
    </row>
    <row r="7" spans="2:35" hidden="1" x14ac:dyDescent="0.2">
      <c r="B7" s="73"/>
      <c r="C7" s="52"/>
      <c r="D7" s="21"/>
      <c r="E7" s="52"/>
      <c r="F7" s="38"/>
      <c r="G7" s="38"/>
      <c r="H7" s="911"/>
      <c r="I7" s="911"/>
      <c r="J7" s="73"/>
      <c r="K7" s="31"/>
      <c r="L7" s="70"/>
      <c r="M7" s="70"/>
      <c r="N7" s="71"/>
      <c r="O7" s="71"/>
      <c r="P7" s="70"/>
      <c r="Q7" s="70"/>
      <c r="R7" s="31"/>
      <c r="S7" s="70"/>
      <c r="T7" s="71"/>
      <c r="U7" s="71"/>
      <c r="V7" s="70"/>
      <c r="W7" s="70"/>
      <c r="X7" s="31"/>
      <c r="Y7" s="31"/>
      <c r="Z7" s="31"/>
      <c r="AA7" s="911"/>
      <c r="AB7" s="912"/>
      <c r="AC7" s="912"/>
      <c r="AD7" s="2445">
        <v>-434</v>
      </c>
      <c r="AE7" s="2445">
        <v>-545</v>
      </c>
      <c r="AF7" s="2445"/>
      <c r="AG7" s="2445"/>
      <c r="AH7" s="817"/>
      <c r="AI7" s="2445"/>
    </row>
    <row r="8" spans="2:35" ht="16" hidden="1" x14ac:dyDescent="0.2">
      <c r="B8" s="73"/>
      <c r="C8" s="52"/>
      <c r="D8" s="21"/>
      <c r="E8" s="52"/>
      <c r="F8" s="38"/>
      <c r="G8" s="38"/>
      <c r="H8" s="911"/>
      <c r="I8" s="911"/>
      <c r="J8" s="73"/>
      <c r="K8" s="31" t="s">
        <v>456</v>
      </c>
      <c r="L8" s="70"/>
      <c r="M8" s="70"/>
      <c r="N8" s="71"/>
      <c r="O8" s="71"/>
      <c r="P8" s="70"/>
      <c r="Q8" s="70"/>
      <c r="R8" s="31"/>
      <c r="S8" s="70"/>
      <c r="T8" s="71"/>
      <c r="U8" s="71"/>
      <c r="V8" s="70"/>
      <c r="W8" s="70"/>
      <c r="X8" s="31"/>
      <c r="Y8" s="31"/>
      <c r="Z8" s="31"/>
      <c r="AA8" s="708">
        <v>15.42</v>
      </c>
      <c r="AB8" s="947"/>
      <c r="AC8" s="947">
        <v>0</v>
      </c>
      <c r="AD8" s="2445"/>
      <c r="AE8" s="2445"/>
      <c r="AF8" s="2445"/>
      <c r="AG8" s="2445"/>
      <c r="AH8" s="817"/>
      <c r="AI8" s="2445"/>
    </row>
    <row r="9" spans="2:35" ht="16" hidden="1" x14ac:dyDescent="0.2">
      <c r="B9" s="73"/>
      <c r="C9" s="52"/>
      <c r="D9" s="21"/>
      <c r="E9" s="52"/>
      <c r="F9" s="38"/>
      <c r="G9" s="38"/>
      <c r="H9" s="911"/>
      <c r="I9" s="911"/>
      <c r="J9" s="73"/>
      <c r="K9" s="31" t="s">
        <v>459</v>
      </c>
      <c r="L9" s="70"/>
      <c r="M9" s="70"/>
      <c r="N9" s="71"/>
      <c r="O9" s="71"/>
      <c r="P9" s="70"/>
      <c r="Q9" s="70"/>
      <c r="R9" s="31"/>
      <c r="S9" s="70"/>
      <c r="T9" s="71"/>
      <c r="U9" s="71"/>
      <c r="V9" s="70"/>
      <c r="W9" s="70"/>
      <c r="X9" s="31"/>
      <c r="Y9" s="31"/>
      <c r="Z9" s="31"/>
      <c r="AA9" s="708">
        <v>0</v>
      </c>
      <c r="AB9" s="947"/>
      <c r="AC9" s="947">
        <v>-49.93</v>
      </c>
      <c r="AD9" s="2445"/>
      <c r="AE9" s="2445"/>
      <c r="AF9" s="2445"/>
      <c r="AG9" s="2445"/>
      <c r="AH9" s="817"/>
      <c r="AI9" s="2445"/>
    </row>
    <row r="10" spans="2:35" ht="16" hidden="1" x14ac:dyDescent="0.2">
      <c r="B10" s="73"/>
      <c r="C10" s="52"/>
      <c r="D10" s="21"/>
      <c r="E10" s="52"/>
      <c r="F10" s="38"/>
      <c r="G10" s="38"/>
      <c r="H10" s="911"/>
      <c r="I10" s="911"/>
      <c r="J10" s="73"/>
      <c r="K10" s="31" t="s">
        <v>523</v>
      </c>
      <c r="L10" s="70"/>
      <c r="M10" s="70"/>
      <c r="N10" s="71"/>
      <c r="O10" s="71"/>
      <c r="P10" s="70"/>
      <c r="Q10" s="70"/>
      <c r="R10" s="31"/>
      <c r="S10" s="70"/>
      <c r="T10" s="71"/>
      <c r="U10" s="71"/>
      <c r="V10" s="70"/>
      <c r="W10" s="70"/>
      <c r="X10" s="31"/>
      <c r="Y10" s="31"/>
      <c r="Z10" s="31"/>
      <c r="AA10" s="708">
        <v>15.42</v>
      </c>
      <c r="AB10" s="947"/>
      <c r="AC10" s="947">
        <v>-33.29</v>
      </c>
      <c r="AD10" s="2445"/>
      <c r="AE10" s="2445"/>
      <c r="AF10" s="2445"/>
      <c r="AG10" s="2445"/>
      <c r="AH10" s="817"/>
      <c r="AI10" s="2445"/>
    </row>
    <row r="11" spans="2:35" hidden="1" x14ac:dyDescent="0.2">
      <c r="B11" s="73" t="s">
        <v>322</v>
      </c>
      <c r="C11" s="52">
        <v>32</v>
      </c>
      <c r="D11" s="114">
        <v>12.48</v>
      </c>
      <c r="E11" s="52">
        <v>315</v>
      </c>
      <c r="F11" s="26">
        <v>-399.3</v>
      </c>
      <c r="G11" s="26"/>
      <c r="H11" s="911"/>
      <c r="I11" s="911"/>
      <c r="J11" s="26"/>
      <c r="K11" s="73" t="s">
        <v>446</v>
      </c>
      <c r="L11" s="18">
        <v>3</v>
      </c>
      <c r="M11" s="47">
        <v>42736</v>
      </c>
      <c r="N11" s="66">
        <v>42736</v>
      </c>
      <c r="O11" s="67">
        <v>42736</v>
      </c>
      <c r="P11" s="68">
        <v>42736</v>
      </c>
      <c r="Q11" s="18" t="s">
        <v>308</v>
      </c>
      <c r="R11" s="73"/>
      <c r="S11" s="47">
        <v>41730</v>
      </c>
      <c r="T11" s="66">
        <v>42005</v>
      </c>
      <c r="U11" s="67">
        <v>42005</v>
      </c>
      <c r="V11" s="68">
        <v>41730</v>
      </c>
      <c r="W11" s="18" t="s">
        <v>328</v>
      </c>
      <c r="X11" s="73">
        <v>1</v>
      </c>
      <c r="Y11" s="73"/>
      <c r="Z11" s="73"/>
      <c r="AA11" s="708">
        <v>16.010000000000002</v>
      </c>
      <c r="AB11" s="947">
        <v>-49.92</v>
      </c>
      <c r="AC11" s="947">
        <v>-33.29</v>
      </c>
      <c r="AD11" s="2445"/>
      <c r="AE11" s="2445"/>
      <c r="AF11" s="2445"/>
      <c r="AG11" s="2445"/>
      <c r="AH11" s="817"/>
      <c r="AI11" s="2445"/>
    </row>
    <row r="12" spans="2:35" hidden="1" x14ac:dyDescent="0.2">
      <c r="B12" s="73" t="s">
        <v>336</v>
      </c>
      <c r="C12" s="52">
        <v>20</v>
      </c>
      <c r="D12" s="114">
        <v>14.26</v>
      </c>
      <c r="E12" s="52">
        <v>403</v>
      </c>
      <c r="F12" s="26">
        <v>-285.22000000000003</v>
      </c>
      <c r="G12" s="26"/>
      <c r="H12" s="911"/>
      <c r="I12" s="911"/>
      <c r="J12" s="26"/>
      <c r="K12" s="73" t="s">
        <v>376</v>
      </c>
      <c r="L12" s="18">
        <v>4</v>
      </c>
      <c r="M12" s="47">
        <v>42737</v>
      </c>
      <c r="N12" s="66">
        <v>42736</v>
      </c>
      <c r="O12" s="67">
        <v>42736</v>
      </c>
      <c r="P12" s="68">
        <v>42737</v>
      </c>
      <c r="Q12" s="18" t="s">
        <v>327</v>
      </c>
      <c r="R12" s="73"/>
      <c r="S12" s="47">
        <v>41731</v>
      </c>
      <c r="T12" s="66">
        <v>42005</v>
      </c>
      <c r="U12" s="67">
        <v>42005</v>
      </c>
      <c r="V12" s="68">
        <v>41731</v>
      </c>
      <c r="W12" s="18" t="s">
        <v>329</v>
      </c>
      <c r="X12" s="73">
        <v>1</v>
      </c>
      <c r="Y12" s="73"/>
      <c r="Z12" s="73"/>
      <c r="AA12" s="708">
        <v>32.020000000000003</v>
      </c>
      <c r="AB12" s="947">
        <v>-33.28</v>
      </c>
      <c r="AC12" s="947">
        <v>-33.29</v>
      </c>
      <c r="AD12" s="2445"/>
      <c r="AE12" s="2445"/>
      <c r="AF12" s="2445"/>
      <c r="AG12" s="2445"/>
      <c r="AH12" s="817"/>
      <c r="AI12" s="2445"/>
    </row>
    <row r="13" spans="2:35" hidden="1" x14ac:dyDescent="0.2">
      <c r="B13" s="73" t="s">
        <v>335</v>
      </c>
      <c r="C13" s="52">
        <v>32</v>
      </c>
      <c r="D13" s="114">
        <v>15.27</v>
      </c>
      <c r="E13" s="52">
        <v>448</v>
      </c>
      <c r="F13" s="26"/>
      <c r="G13" s="26">
        <v>-488.66</v>
      </c>
      <c r="H13" s="911"/>
      <c r="I13" s="911"/>
      <c r="J13" s="26"/>
      <c r="K13" s="73" t="s">
        <v>377</v>
      </c>
      <c r="L13" s="18">
        <v>5</v>
      </c>
      <c r="M13" s="47">
        <v>42738</v>
      </c>
      <c r="N13" s="66">
        <v>42736</v>
      </c>
      <c r="O13" s="67">
        <v>42736</v>
      </c>
      <c r="P13" s="68">
        <v>42738</v>
      </c>
      <c r="Q13" s="18" t="s">
        <v>328</v>
      </c>
      <c r="R13" s="73"/>
      <c r="S13" s="47">
        <v>41732</v>
      </c>
      <c r="T13" s="66">
        <v>42005</v>
      </c>
      <c r="U13" s="67">
        <v>42005</v>
      </c>
      <c r="V13" s="68">
        <v>41732</v>
      </c>
      <c r="W13" s="18" t="s">
        <v>330</v>
      </c>
      <c r="X13" s="73">
        <v>1</v>
      </c>
      <c r="Y13" s="73"/>
      <c r="Z13" s="73"/>
      <c r="AA13" s="916">
        <v>48.03</v>
      </c>
      <c r="AB13" s="707">
        <v>-33.28</v>
      </c>
      <c r="AC13" s="947">
        <v>-33.29</v>
      </c>
      <c r="AD13" s="2445"/>
      <c r="AE13" s="2445"/>
      <c r="AF13" s="2445"/>
      <c r="AG13" s="2445"/>
      <c r="AH13" s="817"/>
      <c r="AI13" s="2445"/>
    </row>
    <row r="14" spans="2:35" hidden="1" x14ac:dyDescent="0.2">
      <c r="B14" s="73" t="s">
        <v>322</v>
      </c>
      <c r="C14" s="52">
        <v>31</v>
      </c>
      <c r="D14" s="114">
        <v>15.42</v>
      </c>
      <c r="E14" s="52">
        <v>509</v>
      </c>
      <c r="F14" s="26"/>
      <c r="G14" s="26"/>
      <c r="H14" s="911">
        <f>-D14*C14</f>
        <v>-478.02</v>
      </c>
      <c r="I14" s="911"/>
      <c r="J14" s="26"/>
      <c r="K14" s="73" t="s">
        <v>378</v>
      </c>
      <c r="L14" s="18">
        <v>6</v>
      </c>
      <c r="M14" s="47">
        <v>42739</v>
      </c>
      <c r="N14" s="66">
        <v>42736</v>
      </c>
      <c r="O14" s="67">
        <v>42736</v>
      </c>
      <c r="P14" s="68">
        <v>42739</v>
      </c>
      <c r="Q14" s="18" t="s">
        <v>329</v>
      </c>
      <c r="R14" s="73"/>
      <c r="S14" s="47">
        <v>41733</v>
      </c>
      <c r="T14" s="66">
        <v>42005</v>
      </c>
      <c r="U14" s="67">
        <v>42005</v>
      </c>
      <c r="V14" s="68">
        <v>41733</v>
      </c>
      <c r="W14" s="18" t="s">
        <v>307</v>
      </c>
      <c r="X14" s="73">
        <v>1</v>
      </c>
      <c r="Y14" s="73"/>
      <c r="Z14" s="73"/>
      <c r="AA14" s="916">
        <v>32.020000000000003</v>
      </c>
      <c r="AB14" s="947">
        <v>-33.28</v>
      </c>
      <c r="AC14" s="947">
        <v>-66.58</v>
      </c>
      <c r="AD14" s="2445"/>
      <c r="AE14" s="2445"/>
      <c r="AF14" s="2445"/>
      <c r="AG14" s="2445"/>
      <c r="AH14" s="817"/>
      <c r="AI14" s="2445"/>
    </row>
    <row r="15" spans="2:35" hidden="1" x14ac:dyDescent="0.2">
      <c r="B15" s="73" t="s">
        <v>334</v>
      </c>
      <c r="C15" s="52">
        <v>1</v>
      </c>
      <c r="D15" s="114">
        <v>15.42</v>
      </c>
      <c r="E15" s="52">
        <v>509</v>
      </c>
      <c r="F15" s="26"/>
      <c r="G15" s="26"/>
      <c r="H15" s="911">
        <f>-D15*C15</f>
        <v>-15.42</v>
      </c>
      <c r="I15" s="911"/>
      <c r="J15" s="26"/>
      <c r="K15" s="73" t="s">
        <v>379</v>
      </c>
      <c r="L15" s="18">
        <v>7</v>
      </c>
      <c r="M15" s="47">
        <v>42740</v>
      </c>
      <c r="N15" s="66">
        <v>42736</v>
      </c>
      <c r="O15" s="67">
        <v>42736</v>
      </c>
      <c r="P15" s="68">
        <v>42740</v>
      </c>
      <c r="Q15" s="18" t="s">
        <v>330</v>
      </c>
      <c r="R15" s="73"/>
      <c r="S15" s="47">
        <v>41734</v>
      </c>
      <c r="T15" s="66">
        <v>42005</v>
      </c>
      <c r="U15" s="67">
        <v>42005</v>
      </c>
      <c r="V15" s="68">
        <v>41734</v>
      </c>
      <c r="W15" s="18" t="s">
        <v>309</v>
      </c>
      <c r="X15" s="73">
        <v>1</v>
      </c>
      <c r="Y15" s="73"/>
      <c r="Z15" s="73"/>
      <c r="AA15" s="916">
        <v>16.010000000000002</v>
      </c>
      <c r="AB15" s="947">
        <v>-49.93</v>
      </c>
      <c r="AC15" s="947">
        <v>-66.58</v>
      </c>
      <c r="AD15" s="2445"/>
      <c r="AE15" s="2445"/>
      <c r="AF15" s="2445"/>
      <c r="AG15" s="2445"/>
      <c r="AH15" s="817"/>
      <c r="AI15" s="2445"/>
    </row>
    <row r="16" spans="2:35" hidden="1" x14ac:dyDescent="0.2">
      <c r="B16" s="73" t="s">
        <v>334</v>
      </c>
      <c r="C16" s="52">
        <v>2</v>
      </c>
      <c r="D16" s="114">
        <v>15.42</v>
      </c>
      <c r="E16" s="52">
        <v>536</v>
      </c>
      <c r="F16" s="26"/>
      <c r="G16" s="26"/>
      <c r="H16" s="911">
        <f>-D16*C16</f>
        <v>-30.84</v>
      </c>
      <c r="I16" s="911"/>
      <c r="J16" s="26"/>
      <c r="K16" s="73" t="s">
        <v>380</v>
      </c>
      <c r="L16" s="18">
        <v>8</v>
      </c>
      <c r="M16" s="47">
        <v>42741</v>
      </c>
      <c r="N16" s="66">
        <v>42736</v>
      </c>
      <c r="O16" s="67">
        <v>42736</v>
      </c>
      <c r="P16" s="68">
        <v>42741</v>
      </c>
      <c r="Q16" s="18" t="s">
        <v>307</v>
      </c>
      <c r="R16" s="73"/>
      <c r="S16" s="47">
        <v>41735</v>
      </c>
      <c r="T16" s="66">
        <v>42005</v>
      </c>
      <c r="U16" s="67">
        <v>42005</v>
      </c>
      <c r="V16" s="68">
        <v>41735</v>
      </c>
      <c r="W16" s="18" t="s">
        <v>308</v>
      </c>
      <c r="X16" s="73">
        <v>1</v>
      </c>
      <c r="Y16" s="73"/>
      <c r="Z16" s="73"/>
      <c r="AA16" s="916">
        <v>32.020000000000003</v>
      </c>
      <c r="AB16" s="947">
        <v>-33.29</v>
      </c>
      <c r="AC16" s="947">
        <v>-49.93</v>
      </c>
      <c r="AD16" s="2445"/>
      <c r="AE16" s="2445"/>
      <c r="AF16" s="2445"/>
      <c r="AG16" s="2445"/>
      <c r="AH16" s="817"/>
      <c r="AI16" s="2445"/>
    </row>
    <row r="17" spans="2:40" hidden="1" x14ac:dyDescent="0.2">
      <c r="B17" s="73" t="s">
        <v>332</v>
      </c>
      <c r="C17" s="52">
        <v>31</v>
      </c>
      <c r="D17" s="114">
        <f>13.34*1.2</f>
        <v>16.007999999999999</v>
      </c>
      <c r="E17" s="52"/>
      <c r="F17" s="26"/>
      <c r="G17" s="26"/>
      <c r="H17" s="911"/>
      <c r="I17" s="911">
        <f>-D17*C17</f>
        <v>-496.24799999999999</v>
      </c>
      <c r="J17" s="26"/>
      <c r="K17" s="73" t="s">
        <v>443</v>
      </c>
      <c r="L17" s="18">
        <v>9</v>
      </c>
      <c r="M17" s="47">
        <v>42742</v>
      </c>
      <c r="N17" s="66">
        <v>42736</v>
      </c>
      <c r="O17" s="67">
        <v>42736</v>
      </c>
      <c r="P17" s="68">
        <v>42742</v>
      </c>
      <c r="Q17" s="18" t="s">
        <v>309</v>
      </c>
      <c r="R17" s="73"/>
      <c r="S17" s="47">
        <v>41736</v>
      </c>
      <c r="T17" s="66">
        <v>42005</v>
      </c>
      <c r="U17" s="67">
        <v>42005</v>
      </c>
      <c r="V17" s="68">
        <v>41736</v>
      </c>
      <c r="W17" s="18" t="s">
        <v>327</v>
      </c>
      <c r="X17" s="73">
        <v>1</v>
      </c>
      <c r="Y17" s="73"/>
      <c r="Z17" s="73"/>
      <c r="AA17" s="916">
        <v>16.010000000000002</v>
      </c>
      <c r="AB17" s="947">
        <v>-66.58</v>
      </c>
      <c r="AC17" s="947">
        <v>-49.93</v>
      </c>
      <c r="AD17" s="2445"/>
      <c r="AE17" s="2445"/>
      <c r="AF17" s="2445"/>
      <c r="AG17" s="2445"/>
      <c r="AH17" s="817"/>
      <c r="AI17" s="2445"/>
    </row>
    <row r="18" spans="2:40" hidden="1" x14ac:dyDescent="0.2">
      <c r="B18" s="73" t="s">
        <v>334</v>
      </c>
      <c r="C18" s="52">
        <v>5</v>
      </c>
      <c r="D18" s="114">
        <f>13.34*1.2</f>
        <v>16.007999999999999</v>
      </c>
      <c r="E18" s="52"/>
      <c r="F18" s="26"/>
      <c r="G18" s="26"/>
      <c r="H18" s="911"/>
      <c r="I18" s="911">
        <f>-D18*C18</f>
        <v>-80.039999999999992</v>
      </c>
      <c r="J18" s="26"/>
      <c r="K18" s="73" t="s">
        <v>522</v>
      </c>
      <c r="L18" s="18">
        <v>10</v>
      </c>
      <c r="M18" s="47">
        <v>42743</v>
      </c>
      <c r="N18" s="66">
        <v>42736</v>
      </c>
      <c r="O18" s="67">
        <v>42736</v>
      </c>
      <c r="P18" s="68">
        <v>42743</v>
      </c>
      <c r="Q18" s="18" t="s">
        <v>308</v>
      </c>
      <c r="R18" s="73"/>
      <c r="S18" s="47">
        <v>41737</v>
      </c>
      <c r="T18" s="66">
        <v>42005</v>
      </c>
      <c r="U18" s="67">
        <v>42005</v>
      </c>
      <c r="V18" s="68">
        <v>41737</v>
      </c>
      <c r="W18" s="18" t="s">
        <v>328</v>
      </c>
      <c r="X18" s="73">
        <v>1</v>
      </c>
      <c r="Y18" s="73"/>
      <c r="Z18" s="73"/>
      <c r="AA18" s="916"/>
      <c r="AB18" s="707">
        <v>-16.64</v>
      </c>
      <c r="AC18" s="947"/>
      <c r="AD18" s="2445"/>
      <c r="AE18" s="2445"/>
      <c r="AF18" s="2445"/>
      <c r="AG18" s="2445"/>
      <c r="AH18" s="817"/>
      <c r="AI18" s="2445"/>
    </row>
    <row r="19" spans="2:40" hidden="1" x14ac:dyDescent="0.2">
      <c r="B19" s="73" t="s">
        <v>408</v>
      </c>
      <c r="C19" s="52"/>
      <c r="D19" s="21"/>
      <c r="E19" s="52"/>
      <c r="F19" s="26"/>
      <c r="G19" s="26"/>
      <c r="H19" s="911">
        <v>-15.42</v>
      </c>
      <c r="I19" s="911"/>
      <c r="J19" s="26"/>
      <c r="K19" s="73" t="s">
        <v>461</v>
      </c>
      <c r="L19" s="18">
        <v>11</v>
      </c>
      <c r="M19" s="47">
        <v>42744</v>
      </c>
      <c r="N19" s="66">
        <v>42736</v>
      </c>
      <c r="O19" s="67">
        <v>42736</v>
      </c>
      <c r="P19" s="68">
        <v>42744</v>
      </c>
      <c r="Q19" s="18" t="s">
        <v>327</v>
      </c>
      <c r="R19" s="73"/>
      <c r="S19" s="47">
        <v>41738</v>
      </c>
      <c r="T19" s="66">
        <v>42005</v>
      </c>
      <c r="U19" s="67">
        <v>42005</v>
      </c>
      <c r="V19" s="68">
        <v>41738</v>
      </c>
      <c r="W19" s="18" t="s">
        <v>329</v>
      </c>
      <c r="X19" s="73">
        <v>1</v>
      </c>
      <c r="Y19" s="73"/>
      <c r="Z19" s="73"/>
      <c r="AA19" s="916"/>
      <c r="AB19" s="947"/>
      <c r="AC19" s="947"/>
      <c r="AD19" s="2445"/>
      <c r="AE19" s="2445"/>
      <c r="AF19" s="2445"/>
      <c r="AG19" s="2445"/>
      <c r="AH19" s="817"/>
      <c r="AI19" s="2445"/>
    </row>
    <row r="20" spans="2:40" hidden="1" x14ac:dyDescent="0.2">
      <c r="B20" s="73"/>
      <c r="C20" s="52"/>
      <c r="D20" s="21"/>
      <c r="E20" s="52"/>
      <c r="F20" s="26"/>
      <c r="G20" s="26"/>
      <c r="H20" s="911"/>
      <c r="I20" s="911"/>
      <c r="J20" s="26"/>
      <c r="K20" s="73" t="s">
        <v>456</v>
      </c>
      <c r="L20" s="18">
        <v>12</v>
      </c>
      <c r="M20" s="47">
        <v>42745</v>
      </c>
      <c r="N20" s="66">
        <v>42736</v>
      </c>
      <c r="O20" s="67">
        <v>42736</v>
      </c>
      <c r="P20" s="68">
        <v>42745</v>
      </c>
      <c r="Q20" s="18" t="s">
        <v>328</v>
      </c>
      <c r="R20" s="73"/>
      <c r="S20" s="47">
        <v>41739</v>
      </c>
      <c r="T20" s="66">
        <v>42005</v>
      </c>
      <c r="U20" s="67">
        <v>42005</v>
      </c>
      <c r="V20" s="68">
        <v>41739</v>
      </c>
      <c r="W20" s="18" t="s">
        <v>330</v>
      </c>
      <c r="X20" s="73">
        <v>1</v>
      </c>
      <c r="Y20" s="73"/>
      <c r="Z20" s="73"/>
      <c r="AA20" s="916"/>
      <c r="AB20" s="947"/>
      <c r="AC20" s="947"/>
      <c r="AD20" s="2445"/>
      <c r="AE20" s="2445"/>
      <c r="AF20" s="2445"/>
      <c r="AG20" s="2445"/>
      <c r="AH20" s="817"/>
      <c r="AI20" s="2445"/>
    </row>
    <row r="21" spans="2:40" hidden="1" x14ac:dyDescent="0.2">
      <c r="B21" s="73"/>
      <c r="C21" s="52"/>
      <c r="D21" s="21"/>
      <c r="E21" s="52"/>
      <c r="F21" s="26"/>
      <c r="G21" s="26"/>
      <c r="H21" s="911"/>
      <c r="I21" s="911"/>
      <c r="J21" s="26"/>
      <c r="K21" s="73" t="s">
        <v>459</v>
      </c>
      <c r="L21" s="18">
        <v>13</v>
      </c>
      <c r="M21" s="47">
        <v>42746</v>
      </c>
      <c r="N21" s="66">
        <v>42736</v>
      </c>
      <c r="O21" s="67">
        <v>42736</v>
      </c>
      <c r="P21" s="68">
        <v>42746</v>
      </c>
      <c r="Q21" s="18" t="s">
        <v>329</v>
      </c>
      <c r="R21" s="73"/>
      <c r="S21" s="47">
        <v>41740</v>
      </c>
      <c r="T21" s="66">
        <v>42005</v>
      </c>
      <c r="U21" s="67">
        <v>42005</v>
      </c>
      <c r="V21" s="68">
        <v>41740</v>
      </c>
      <c r="W21" s="18" t="s">
        <v>307</v>
      </c>
      <c r="X21" s="73">
        <v>1</v>
      </c>
      <c r="Y21" s="73"/>
      <c r="Z21" s="73"/>
      <c r="AA21" s="916"/>
      <c r="AB21" s="947"/>
      <c r="AC21" s="947"/>
      <c r="AD21" s="2445"/>
      <c r="AE21" s="2445"/>
      <c r="AF21" s="2445"/>
      <c r="AG21" s="2445"/>
      <c r="AH21" s="817"/>
      <c r="AI21" s="2445"/>
    </row>
    <row r="22" spans="2:40" hidden="1" x14ac:dyDescent="0.2">
      <c r="B22" s="73"/>
      <c r="C22" s="52"/>
      <c r="D22" s="21"/>
      <c r="E22" s="52"/>
      <c r="F22" s="885">
        <f>SUM(F11:F21)</f>
        <v>-684.52</v>
      </c>
      <c r="G22" s="885">
        <f>SUM(G11:G21)</f>
        <v>-488.66</v>
      </c>
      <c r="H22" s="949"/>
      <c r="I22" s="911"/>
      <c r="J22" s="26"/>
      <c r="K22" s="73" t="s">
        <v>523</v>
      </c>
      <c r="L22" s="18">
        <v>14</v>
      </c>
      <c r="M22" s="47">
        <v>42747</v>
      </c>
      <c r="N22" s="66">
        <v>42736</v>
      </c>
      <c r="O22" s="67">
        <v>42736</v>
      </c>
      <c r="P22" s="68">
        <v>42747</v>
      </c>
      <c r="Q22" s="18" t="s">
        <v>330</v>
      </c>
      <c r="R22" s="73"/>
      <c r="S22" s="47">
        <v>41741</v>
      </c>
      <c r="T22" s="66">
        <v>42005</v>
      </c>
      <c r="U22" s="67">
        <v>42005</v>
      </c>
      <c r="V22" s="68">
        <v>41741</v>
      </c>
      <c r="W22" s="18" t="s">
        <v>309</v>
      </c>
      <c r="X22" s="73">
        <v>1</v>
      </c>
      <c r="Y22" s="73"/>
      <c r="Z22" s="73"/>
      <c r="AA22" s="916"/>
      <c r="AB22" s="947"/>
      <c r="AC22" s="947"/>
      <c r="AD22" s="2445"/>
      <c r="AE22" s="2445"/>
      <c r="AF22" s="2445"/>
      <c r="AG22" s="2445"/>
      <c r="AH22" s="817"/>
      <c r="AI22" s="2445"/>
      <c r="AN22" s="2011"/>
    </row>
    <row r="23" spans="2:40" x14ac:dyDescent="0.2">
      <c r="B23" s="73" t="s">
        <v>1036</v>
      </c>
      <c r="C23" s="52"/>
      <c r="D23" s="21"/>
      <c r="E23" s="52"/>
      <c r="F23" s="885"/>
      <c r="G23" s="885"/>
      <c r="H23" s="949"/>
      <c r="I23" s="911"/>
      <c r="J23" s="26"/>
      <c r="K23" s="73"/>
      <c r="L23" s="18"/>
      <c r="M23" s="47"/>
      <c r="N23" s="66"/>
      <c r="O23" s="67"/>
      <c r="P23" s="68"/>
      <c r="Q23" s="18"/>
      <c r="R23" s="73"/>
      <c r="S23" s="47"/>
      <c r="T23" s="66"/>
      <c r="U23" s="67"/>
      <c r="V23" s="68"/>
      <c r="W23" s="18"/>
      <c r="X23" s="73"/>
      <c r="Y23" s="73"/>
      <c r="Z23" s="73"/>
      <c r="AA23" s="916"/>
      <c r="AB23" s="947"/>
      <c r="AC23" s="947"/>
      <c r="AD23" s="948"/>
      <c r="AE23" s="948"/>
      <c r="AF23" s="817">
        <v>-40.729999999999997</v>
      </c>
      <c r="AG23" s="947"/>
      <c r="AH23" s="947"/>
      <c r="AI23" s="947"/>
      <c r="AK23" s="1217">
        <v>45312</v>
      </c>
      <c r="AL23" s="331" t="s">
        <v>1334</v>
      </c>
      <c r="AM23" s="331" t="s">
        <v>1335</v>
      </c>
      <c r="AN23" s="1299">
        <v>-21.6</v>
      </c>
    </row>
    <row r="24" spans="2:40" x14ac:dyDescent="0.2">
      <c r="B24" s="73" t="s">
        <v>1037</v>
      </c>
      <c r="C24" s="52"/>
      <c r="D24" s="21"/>
      <c r="E24" s="52"/>
      <c r="F24" s="885"/>
      <c r="G24" s="885"/>
      <c r="H24" s="949"/>
      <c r="I24" s="911"/>
      <c r="J24" s="26"/>
      <c r="K24" s="73"/>
      <c r="L24" s="18"/>
      <c r="M24" s="47"/>
      <c r="N24" s="66"/>
      <c r="O24" s="67"/>
      <c r="P24" s="68"/>
      <c r="Q24" s="18"/>
      <c r="R24" s="73"/>
      <c r="S24" s="47"/>
      <c r="T24" s="66"/>
      <c r="U24" s="67"/>
      <c r="V24" s="68"/>
      <c r="W24" s="18"/>
      <c r="X24" s="73"/>
      <c r="Y24" s="73"/>
      <c r="Z24" s="73"/>
      <c r="AA24" s="916"/>
      <c r="AB24" s="947"/>
      <c r="AC24" s="947"/>
      <c r="AD24" s="948"/>
      <c r="AE24" s="948"/>
      <c r="AF24" s="817">
        <v>-61.1</v>
      </c>
      <c r="AG24" s="947"/>
      <c r="AH24" s="947"/>
      <c r="AI24" s="947"/>
      <c r="AK24" s="1218">
        <v>45385</v>
      </c>
      <c r="AL24" s="330" t="s">
        <v>1334</v>
      </c>
      <c r="AM24" s="330" t="s">
        <v>1336</v>
      </c>
      <c r="AN24" s="1300">
        <v>-86.4</v>
      </c>
    </row>
    <row r="25" spans="2:40" x14ac:dyDescent="0.2">
      <c r="B25" s="73" t="s">
        <v>1038</v>
      </c>
      <c r="C25" s="52"/>
      <c r="D25" s="21"/>
      <c r="E25" s="52"/>
      <c r="F25" s="885"/>
      <c r="G25" s="885"/>
      <c r="H25" s="949"/>
      <c r="I25" s="911"/>
      <c r="J25" s="26"/>
      <c r="K25" s="73"/>
      <c r="L25" s="18"/>
      <c r="M25" s="47"/>
      <c r="N25" s="66"/>
      <c r="O25" s="67"/>
      <c r="P25" s="68"/>
      <c r="Q25" s="18"/>
      <c r="R25" s="73"/>
      <c r="S25" s="47"/>
      <c r="T25" s="66"/>
      <c r="U25" s="67"/>
      <c r="V25" s="68"/>
      <c r="W25" s="18"/>
      <c r="X25" s="73"/>
      <c r="Y25" s="73"/>
      <c r="Z25" s="73"/>
      <c r="AA25" s="916"/>
      <c r="AB25" s="947"/>
      <c r="AC25" s="947"/>
      <c r="AD25" s="948"/>
      <c r="AE25" s="948"/>
      <c r="AF25" s="817">
        <v>-81.459999999999994</v>
      </c>
      <c r="AG25" s="947"/>
      <c r="AH25" s="947"/>
      <c r="AI25" s="947"/>
      <c r="AK25" s="1217">
        <v>45442</v>
      </c>
      <c r="AL25" s="331" t="s">
        <v>1334</v>
      </c>
      <c r="AM25" s="331" t="s">
        <v>1337</v>
      </c>
      <c r="AN25" s="1299">
        <v>-43.2</v>
      </c>
    </row>
    <row r="26" spans="2:40" x14ac:dyDescent="0.2">
      <c r="B26" s="73" t="s">
        <v>1039</v>
      </c>
      <c r="C26" s="52"/>
      <c r="D26" s="21"/>
      <c r="E26" s="52"/>
      <c r="F26" s="885"/>
      <c r="G26" s="885"/>
      <c r="H26" s="949"/>
      <c r="I26" s="911"/>
      <c r="J26" s="26"/>
      <c r="K26" s="73"/>
      <c r="L26" s="18"/>
      <c r="M26" s="47"/>
      <c r="N26" s="66"/>
      <c r="O26" s="67"/>
      <c r="P26" s="68"/>
      <c r="Q26" s="18"/>
      <c r="R26" s="73"/>
      <c r="S26" s="47"/>
      <c r="T26" s="66"/>
      <c r="U26" s="67"/>
      <c r="V26" s="68"/>
      <c r="W26" s="18"/>
      <c r="X26" s="73"/>
      <c r="Y26" s="73"/>
      <c r="Z26" s="73"/>
      <c r="AA26" s="916"/>
      <c r="AB26" s="947"/>
      <c r="AC26" s="947"/>
      <c r="AD26" s="948"/>
      <c r="AE26" s="948"/>
      <c r="AF26" s="817">
        <v>-20.36</v>
      </c>
      <c r="AG26" s="947"/>
      <c r="AH26" s="947"/>
      <c r="AI26" s="947"/>
      <c r="AK26" s="1218">
        <v>45447</v>
      </c>
      <c r="AL26" s="330" t="s">
        <v>1334</v>
      </c>
      <c r="AM26" s="330" t="s">
        <v>1338</v>
      </c>
      <c r="AN26" s="1300">
        <v>-129.6</v>
      </c>
    </row>
    <row r="27" spans="2:40" x14ac:dyDescent="0.2">
      <c r="B27" s="73" t="s">
        <v>1040</v>
      </c>
      <c r="C27" s="52"/>
      <c r="D27" s="21"/>
      <c r="E27" s="52"/>
      <c r="F27" s="885"/>
      <c r="G27" s="885"/>
      <c r="H27" s="949"/>
      <c r="I27" s="911"/>
      <c r="J27" s="26"/>
      <c r="K27" s="73"/>
      <c r="L27" s="18"/>
      <c r="M27" s="47"/>
      <c r="N27" s="66"/>
      <c r="O27" s="67"/>
      <c r="P27" s="68"/>
      <c r="Q27" s="18"/>
      <c r="R27" s="73"/>
      <c r="S27" s="47"/>
      <c r="T27" s="66"/>
      <c r="U27" s="67"/>
      <c r="V27" s="68"/>
      <c r="W27" s="18"/>
      <c r="X27" s="73"/>
      <c r="Y27" s="73"/>
      <c r="Z27" s="73"/>
      <c r="AA27" s="916"/>
      <c r="AB27" s="947"/>
      <c r="AC27" s="947"/>
      <c r="AD27" s="948"/>
      <c r="AE27" s="948"/>
      <c r="AF27" s="817">
        <v>-40.729999999999997</v>
      </c>
      <c r="AG27" s="947"/>
      <c r="AH27" s="947"/>
      <c r="AI27" s="947"/>
      <c r="AK27" s="1217">
        <v>45495</v>
      </c>
      <c r="AL27" s="331" t="s">
        <v>1334</v>
      </c>
      <c r="AM27" s="331" t="s">
        <v>1339</v>
      </c>
      <c r="AN27" s="1299">
        <v>-43.2</v>
      </c>
    </row>
    <row r="28" spans="2:40" x14ac:dyDescent="0.2">
      <c r="B28" s="73" t="s">
        <v>1057</v>
      </c>
      <c r="C28" s="52"/>
      <c r="D28" s="21"/>
      <c r="E28" s="52"/>
      <c r="F28" s="885"/>
      <c r="G28" s="885"/>
      <c r="H28" s="949"/>
      <c r="I28" s="911"/>
      <c r="J28" s="26"/>
      <c r="K28" s="73"/>
      <c r="L28" s="18"/>
      <c r="M28" s="47"/>
      <c r="N28" s="66"/>
      <c r="O28" s="67"/>
      <c r="P28" s="68"/>
      <c r="Q28" s="18"/>
      <c r="R28" s="73"/>
      <c r="S28" s="47"/>
      <c r="T28" s="66"/>
      <c r="U28" s="67"/>
      <c r="V28" s="68"/>
      <c r="W28" s="18"/>
      <c r="X28" s="73"/>
      <c r="Y28" s="73"/>
      <c r="Z28" s="73"/>
      <c r="AA28" s="916"/>
      <c r="AB28" s="947"/>
      <c r="AC28" s="947"/>
      <c r="AD28" s="948"/>
      <c r="AE28" s="948"/>
      <c r="AF28" s="817">
        <v>-81.459999999999994</v>
      </c>
      <c r="AG28" s="947"/>
      <c r="AH28" s="947"/>
      <c r="AI28" s="947"/>
      <c r="AK28" s="1218">
        <v>45523</v>
      </c>
      <c r="AL28" s="330" t="s">
        <v>1334</v>
      </c>
      <c r="AM28" s="330" t="s">
        <v>1340</v>
      </c>
      <c r="AN28" s="1300">
        <v>-43.2</v>
      </c>
    </row>
    <row r="29" spans="2:40" x14ac:dyDescent="0.2">
      <c r="B29" s="73" t="s">
        <v>1066</v>
      </c>
      <c r="C29" s="52"/>
      <c r="D29" s="21"/>
      <c r="E29" s="52"/>
      <c r="F29" s="885"/>
      <c r="G29" s="885"/>
      <c r="H29" s="949"/>
      <c r="I29" s="911"/>
      <c r="J29" s="26"/>
      <c r="K29" s="73"/>
      <c r="L29" s="18"/>
      <c r="M29" s="47"/>
      <c r="N29" s="66"/>
      <c r="O29" s="67"/>
      <c r="P29" s="68"/>
      <c r="Q29" s="18"/>
      <c r="R29" s="73"/>
      <c r="S29" s="47"/>
      <c r="T29" s="66"/>
      <c r="U29" s="67"/>
      <c r="V29" s="68"/>
      <c r="W29" s="18"/>
      <c r="X29" s="73"/>
      <c r="Y29" s="73"/>
      <c r="Z29" s="73"/>
      <c r="AA29" s="916"/>
      <c r="AB29" s="947"/>
      <c r="AC29" s="947"/>
      <c r="AD29" s="948"/>
      <c r="AE29" s="948"/>
      <c r="AF29" s="817">
        <v>-61.09</v>
      </c>
      <c r="AG29" s="947"/>
      <c r="AH29" s="947"/>
      <c r="AI29" s="947"/>
      <c r="AK29" s="1217">
        <v>45550</v>
      </c>
      <c r="AL29" s="331" t="s">
        <v>1334</v>
      </c>
      <c r="AM29" s="331" t="s">
        <v>1341</v>
      </c>
      <c r="AN29" s="1299">
        <v>-43.2</v>
      </c>
    </row>
    <row r="30" spans="2:40" x14ac:dyDescent="0.2">
      <c r="B30" s="73" t="s">
        <v>1070</v>
      </c>
      <c r="C30" s="52"/>
      <c r="D30" s="21"/>
      <c r="E30" s="52"/>
      <c r="F30" s="885"/>
      <c r="G30" s="885"/>
      <c r="H30" s="949"/>
      <c r="I30" s="911"/>
      <c r="J30" s="26"/>
      <c r="K30" s="73"/>
      <c r="L30" s="18"/>
      <c r="M30" s="47"/>
      <c r="N30" s="66"/>
      <c r="O30" s="67"/>
      <c r="P30" s="68"/>
      <c r="Q30" s="18"/>
      <c r="R30" s="73"/>
      <c r="S30" s="47"/>
      <c r="T30" s="66"/>
      <c r="U30" s="67"/>
      <c r="V30" s="68"/>
      <c r="W30" s="18"/>
      <c r="X30" s="73"/>
      <c r="Y30" s="73"/>
      <c r="Z30" s="73"/>
      <c r="AA30" s="916"/>
      <c r="AB30" s="947"/>
      <c r="AC30" s="947"/>
      <c r="AD30" s="948"/>
      <c r="AE30" s="948"/>
      <c r="AF30" s="817">
        <v>-61.09</v>
      </c>
      <c r="AG30" s="947"/>
      <c r="AH30" s="947"/>
      <c r="AI30" s="947"/>
      <c r="AK30" s="1218">
        <v>45573</v>
      </c>
      <c r="AL30" s="330" t="s">
        <v>1334</v>
      </c>
      <c r="AM30" s="330" t="s">
        <v>1342</v>
      </c>
      <c r="AN30" s="1300">
        <v>-108</v>
      </c>
    </row>
    <row r="31" spans="2:40" ht="14.5" customHeight="1" x14ac:dyDescent="0.2">
      <c r="B31" s="73" t="s">
        <v>1071</v>
      </c>
      <c r="C31" s="52"/>
      <c r="D31" s="21"/>
      <c r="E31" s="52"/>
      <c r="F31" s="885"/>
      <c r="G31" s="885"/>
      <c r="H31" s="949"/>
      <c r="I31" s="911"/>
      <c r="J31" s="26"/>
      <c r="K31" s="73"/>
      <c r="L31" s="18"/>
      <c r="M31" s="47"/>
      <c r="N31" s="66"/>
      <c r="O31" s="67"/>
      <c r="P31" s="68"/>
      <c r="Q31" s="18"/>
      <c r="R31" s="73"/>
      <c r="S31" s="47"/>
      <c r="T31" s="66"/>
      <c r="U31" s="67"/>
      <c r="V31" s="68"/>
      <c r="W31" s="18"/>
      <c r="X31" s="73"/>
      <c r="Y31" s="73"/>
      <c r="Z31" s="73"/>
      <c r="AA31" s="916"/>
      <c r="AB31" s="947"/>
      <c r="AC31" s="947"/>
      <c r="AD31" s="948"/>
      <c r="AE31" s="948"/>
      <c r="AF31" s="817">
        <v>-40.729999999999997</v>
      </c>
      <c r="AG31" s="947"/>
      <c r="AH31" s="947"/>
      <c r="AI31" s="947"/>
      <c r="AN31" s="1300">
        <f>SUM(AN23:AN30)</f>
        <v>-518.39999999999986</v>
      </c>
    </row>
    <row r="32" spans="2:40" x14ac:dyDescent="0.2">
      <c r="B32" s="73"/>
      <c r="C32" s="52"/>
      <c r="D32" s="21"/>
      <c r="E32" s="52"/>
      <c r="F32" s="885"/>
      <c r="G32" s="885"/>
      <c r="H32" s="949"/>
      <c r="I32" s="911"/>
      <c r="J32" s="26"/>
      <c r="K32" s="73"/>
      <c r="L32" s="18"/>
      <c r="M32" s="47"/>
      <c r="N32" s="66"/>
      <c r="O32" s="67"/>
      <c r="P32" s="68"/>
      <c r="Q32" s="18"/>
      <c r="R32" s="73"/>
      <c r="S32" s="47"/>
      <c r="T32" s="66"/>
      <c r="U32" s="67"/>
      <c r="V32" s="68"/>
      <c r="W32" s="18"/>
      <c r="X32" s="73"/>
      <c r="Y32" s="73"/>
      <c r="Z32" s="73"/>
      <c r="AA32" s="916"/>
      <c r="AB32" s="947"/>
      <c r="AC32" s="947"/>
      <c r="AD32" s="948"/>
      <c r="AE32" s="948"/>
      <c r="AF32" s="817"/>
      <c r="AG32" s="947"/>
      <c r="AH32" s="947"/>
      <c r="AI32" s="947"/>
    </row>
    <row r="33" spans="2:35" x14ac:dyDescent="0.2">
      <c r="B33" s="73"/>
      <c r="C33" s="52"/>
      <c r="D33" s="21"/>
      <c r="E33" s="52"/>
      <c r="F33" s="885"/>
      <c r="G33" s="885"/>
      <c r="H33" s="949"/>
      <c r="I33" s="911"/>
      <c r="J33" s="26"/>
      <c r="K33" s="73"/>
      <c r="L33" s="18"/>
      <c r="M33" s="47"/>
      <c r="N33" s="66"/>
      <c r="O33" s="67"/>
      <c r="P33" s="68"/>
      <c r="Q33" s="18"/>
      <c r="R33" s="73"/>
      <c r="S33" s="47"/>
      <c r="T33" s="66"/>
      <c r="U33" s="67"/>
      <c r="V33" s="68"/>
      <c r="W33" s="18"/>
      <c r="X33" s="73"/>
      <c r="Y33" s="73"/>
      <c r="Z33" s="73"/>
      <c r="AA33" s="916"/>
      <c r="AB33" s="947"/>
      <c r="AC33" s="947"/>
      <c r="AD33" s="948"/>
      <c r="AE33" s="948"/>
      <c r="AF33" s="817"/>
      <c r="AG33" s="947"/>
      <c r="AH33" s="947"/>
      <c r="AI33" s="947"/>
    </row>
    <row r="34" spans="2:35" x14ac:dyDescent="0.2">
      <c r="B34" s="73"/>
      <c r="C34" s="52"/>
      <c r="D34" s="21"/>
      <c r="E34" s="52"/>
      <c r="F34" s="885"/>
      <c r="G34" s="885"/>
      <c r="H34" s="949"/>
      <c r="I34" s="911"/>
      <c r="J34" s="26"/>
      <c r="K34" s="73"/>
      <c r="L34" s="18"/>
      <c r="M34" s="47"/>
      <c r="N34" s="66"/>
      <c r="O34" s="67"/>
      <c r="P34" s="68"/>
      <c r="Q34" s="18"/>
      <c r="R34" s="73"/>
      <c r="S34" s="47"/>
      <c r="T34" s="66"/>
      <c r="U34" s="67"/>
      <c r="V34" s="68"/>
      <c r="W34" s="18"/>
      <c r="X34" s="73"/>
      <c r="Y34" s="73"/>
      <c r="Z34" s="73"/>
      <c r="AA34" s="916"/>
      <c r="AB34" s="947"/>
      <c r="AC34" s="947"/>
      <c r="AD34" s="948"/>
      <c r="AE34" s="948"/>
      <c r="AF34" s="817"/>
      <c r="AG34" s="947"/>
      <c r="AH34" s="947"/>
      <c r="AI34" s="947"/>
    </row>
    <row r="35" spans="2:35" x14ac:dyDescent="0.2">
      <c r="B35" s="73"/>
      <c r="C35" s="52"/>
      <c r="D35" s="21"/>
      <c r="E35" s="52"/>
      <c r="F35" s="885"/>
      <c r="G35" s="885"/>
      <c r="H35" s="949"/>
      <c r="I35" s="911"/>
      <c r="J35" s="26"/>
      <c r="K35" s="73"/>
      <c r="L35" s="18"/>
      <c r="M35" s="47"/>
      <c r="N35" s="66"/>
      <c r="O35" s="67"/>
      <c r="P35" s="68"/>
      <c r="Q35" s="18"/>
      <c r="R35" s="73"/>
      <c r="S35" s="47"/>
      <c r="T35" s="66"/>
      <c r="U35" s="67"/>
      <c r="V35" s="68"/>
      <c r="W35" s="18"/>
      <c r="X35" s="73"/>
      <c r="Y35" s="73"/>
      <c r="Z35" s="73"/>
      <c r="AA35" s="916"/>
      <c r="AB35" s="947"/>
      <c r="AC35" s="947"/>
      <c r="AD35" s="948"/>
      <c r="AE35" s="948"/>
      <c r="AF35" s="817"/>
      <c r="AG35" s="947"/>
      <c r="AH35" s="947"/>
      <c r="AI35" s="947"/>
    </row>
    <row r="36" spans="2:35" x14ac:dyDescent="0.2">
      <c r="B36" s="73"/>
      <c r="C36" s="52"/>
      <c r="D36" s="21"/>
      <c r="E36" s="52"/>
      <c r="F36" s="885"/>
      <c r="G36" s="885"/>
      <c r="H36" s="949"/>
      <c r="I36" s="911"/>
      <c r="J36" s="26"/>
      <c r="K36" s="73"/>
      <c r="L36" s="18"/>
      <c r="M36" s="47"/>
      <c r="N36" s="66"/>
      <c r="O36" s="67"/>
      <c r="P36" s="68"/>
      <c r="Q36" s="18"/>
      <c r="R36" s="73"/>
      <c r="S36" s="47"/>
      <c r="T36" s="66"/>
      <c r="U36" s="67"/>
      <c r="V36" s="68"/>
      <c r="W36" s="18"/>
      <c r="X36" s="73"/>
      <c r="Y36" s="73"/>
      <c r="Z36" s="73"/>
      <c r="AA36" s="916"/>
      <c r="AB36" s="947"/>
      <c r="AC36" s="947"/>
      <c r="AD36" s="948"/>
      <c r="AE36" s="948"/>
      <c r="AF36" s="817"/>
      <c r="AG36" s="947">
        <v>-518</v>
      </c>
      <c r="AH36" s="947">
        <v>-518.4</v>
      </c>
      <c r="AI36" s="985">
        <v>-720</v>
      </c>
    </row>
    <row r="37" spans="2:35" ht="16" thickBot="1" x14ac:dyDescent="0.25">
      <c r="B37" s="24"/>
      <c r="C37" s="25"/>
      <c r="D37" s="24"/>
      <c r="E37" s="25"/>
      <c r="F37" s="98"/>
      <c r="G37" s="98" t="s">
        <v>363</v>
      </c>
      <c r="H37" s="914">
        <f>SUM(H5:H29)</f>
        <v>-539.69999999999993</v>
      </c>
      <c r="I37" s="914">
        <f>SUM(I5:I29)</f>
        <v>-576.28800000000001</v>
      </c>
      <c r="J37" s="1612"/>
      <c r="K37" s="950"/>
      <c r="L37" s="950"/>
      <c r="M37" s="950"/>
      <c r="N37" s="950"/>
      <c r="O37" s="950"/>
      <c r="P37" s="950"/>
      <c r="Q37" s="950"/>
      <c r="R37" s="950"/>
      <c r="S37" s="950"/>
      <c r="T37" s="950"/>
      <c r="U37" s="950"/>
      <c r="V37" s="950"/>
      <c r="W37" s="950"/>
      <c r="X37" s="950"/>
      <c r="Y37" s="950"/>
      <c r="Z37" s="950"/>
      <c r="AA37" s="950"/>
      <c r="AB37" s="950">
        <f t="shared" ref="AB37:AE37" si="0">SUM(AB6:AB36)</f>
        <v>-299.55</v>
      </c>
      <c r="AC37" s="950">
        <f t="shared" si="0"/>
        <v>-398.85999999999996</v>
      </c>
      <c r="AD37" s="950">
        <f t="shared" si="0"/>
        <v>-434</v>
      </c>
      <c r="AE37" s="950">
        <f t="shared" si="0"/>
        <v>-545</v>
      </c>
      <c r="AF37" s="1077">
        <f t="shared" ref="AF37:AG37" si="1">SUM(AF7:AF36)</f>
        <v>-488.75</v>
      </c>
      <c r="AG37" s="1077">
        <f t="shared" si="1"/>
        <v>-518</v>
      </c>
      <c r="AH37" s="1077">
        <f>SUM(AH7:AH36)</f>
        <v>-518.4</v>
      </c>
      <c r="AI37" s="971">
        <f>SUM(AI7:AI36)</f>
        <v>-720</v>
      </c>
    </row>
    <row r="38" spans="2:35" ht="16" thickTop="1" x14ac:dyDescent="0.2">
      <c r="B38" s="2" t="s">
        <v>397</v>
      </c>
      <c r="I38" s="2091"/>
      <c r="J38" s="2091"/>
      <c r="L38" s="14">
        <v>16</v>
      </c>
      <c r="M38" s="2092">
        <v>42749</v>
      </c>
      <c r="N38" s="2093">
        <v>42736</v>
      </c>
      <c r="O38" s="2094">
        <v>42736</v>
      </c>
      <c r="P38" s="2095">
        <v>42749</v>
      </c>
      <c r="Q38" s="2096" t="s">
        <v>309</v>
      </c>
      <c r="S38" s="2092">
        <v>41743</v>
      </c>
      <c r="T38" s="2093">
        <v>42005</v>
      </c>
      <c r="U38" s="2094">
        <v>42005</v>
      </c>
      <c r="V38" s="2095">
        <v>41743</v>
      </c>
      <c r="W38" s="2096" t="s">
        <v>327</v>
      </c>
      <c r="X38" s="2">
        <v>1</v>
      </c>
    </row>
    <row r="39" spans="2:35" x14ac:dyDescent="0.2">
      <c r="B39" s="1509" t="s">
        <v>432</v>
      </c>
      <c r="L39" s="14">
        <v>17</v>
      </c>
      <c r="M39" s="2092">
        <v>42749</v>
      </c>
      <c r="N39" s="2093">
        <v>42736</v>
      </c>
      <c r="O39" s="2094">
        <v>42736</v>
      </c>
      <c r="P39" s="2095">
        <v>42749</v>
      </c>
      <c r="Q39" s="2096" t="s">
        <v>308</v>
      </c>
      <c r="S39" s="2092">
        <v>41743</v>
      </c>
      <c r="T39" s="2093">
        <v>42005</v>
      </c>
      <c r="U39" s="2094">
        <v>42005</v>
      </c>
      <c r="V39" s="2095">
        <v>41743</v>
      </c>
      <c r="W39" s="2096" t="s">
        <v>328</v>
      </c>
      <c r="X39" s="2">
        <v>2</v>
      </c>
      <c r="AD39" s="2" t="s">
        <v>967</v>
      </c>
    </row>
    <row r="40" spans="2:35" x14ac:dyDescent="0.2">
      <c r="B40" s="1509" t="s">
        <v>649</v>
      </c>
    </row>
    <row r="41" spans="2:35" x14ac:dyDescent="0.2">
      <c r="B41" s="2" t="s">
        <v>701</v>
      </c>
    </row>
    <row r="42" spans="2:35" x14ac:dyDescent="0.2">
      <c r="B42" s="1509" t="s">
        <v>899</v>
      </c>
    </row>
  </sheetData>
  <autoFilter ref="L3:W39" xr:uid="{00000000-0009-0000-0000-000020000000}"/>
  <mergeCells count="8">
    <mergeCell ref="B2:AI2"/>
    <mergeCell ref="B1:AI1"/>
    <mergeCell ref="AI7:AI22"/>
    <mergeCell ref="AD7:AD22"/>
    <mergeCell ref="AE7:AE22"/>
    <mergeCell ref="AF7:AF22"/>
    <mergeCell ref="AG7:AG22"/>
    <mergeCell ref="AF3:AH3"/>
  </mergeCells>
  <conditionalFormatting sqref="B1">
    <cfRule type="cellIs" dxfId="20" priority="2" operator="equal">
      <formula>0</formula>
    </cfRule>
  </conditionalFormatting>
  <hyperlinks>
    <hyperlink ref="B1" location="Summary!A1" display="Summary!A1" xr:uid="{79B25619-23B3-47A1-8B3C-DB683B8607FF}"/>
    <hyperlink ref="AI37" location="Summary!T53" display="Summary!T53" xr:uid="{E60A1760-0798-437A-B85B-69FECD2058BE}"/>
  </hyperlinks>
  <printOptions horizontalCentered="1"/>
  <pageMargins left="0" right="0"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00FF00"/>
    <pageSetUpPr fitToPage="1"/>
  </sheetPr>
  <dimension ref="B1:K19"/>
  <sheetViews>
    <sheetView zoomScaleNormal="100" zoomScaleSheetLayoutView="100" workbookViewId="0">
      <pane xSplit="2" ySplit="3" topLeftCell="C4"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5" style="14" customWidth="1"/>
    <col min="2" max="2" width="19.83203125" style="14" customWidth="1"/>
    <col min="3" max="3" width="6.33203125" style="14" bestFit="1" customWidth="1"/>
    <col min="4" max="4" width="5.5" style="14" customWidth="1"/>
    <col min="5" max="8" width="5" style="14" bestFit="1" customWidth="1"/>
    <col min="9" max="9" width="6.33203125" style="14" bestFit="1" customWidth="1"/>
    <col min="10" max="10" width="5" style="14" bestFit="1" customWidth="1"/>
    <col min="11" max="11" width="7.83203125" style="14" bestFit="1" customWidth="1"/>
    <col min="12" max="16384" width="8.83203125" style="14"/>
  </cols>
  <sheetData>
    <row r="1" spans="2:11" s="1909" customFormat="1" ht="24" x14ac:dyDescent="0.2">
      <c r="B1" s="2289" t="s">
        <v>725</v>
      </c>
      <c r="C1" s="2289"/>
      <c r="D1" s="2289"/>
      <c r="E1" s="2289"/>
      <c r="F1" s="2289"/>
      <c r="G1" s="2289"/>
      <c r="H1" s="2289"/>
      <c r="I1" s="2289"/>
      <c r="J1" s="2289"/>
      <c r="K1" s="2289"/>
    </row>
    <row r="2" spans="2:11" ht="16" x14ac:dyDescent="0.2">
      <c r="B2" s="2443" t="s">
        <v>362</v>
      </c>
      <c r="C2" s="2443"/>
      <c r="D2" s="2443"/>
      <c r="E2" s="2443"/>
      <c r="F2" s="2443"/>
      <c r="G2" s="2443"/>
      <c r="H2" s="2443"/>
      <c r="I2" s="2443"/>
      <c r="J2" s="2443"/>
      <c r="K2" s="2443"/>
    </row>
    <row r="3" spans="2:11" x14ac:dyDescent="0.2">
      <c r="B3" s="18"/>
      <c r="C3" s="2585" t="s">
        <v>481</v>
      </c>
      <c r="D3" s="2585"/>
      <c r="E3" s="2585"/>
      <c r="F3" s="2585"/>
      <c r="G3" s="2585"/>
      <c r="H3" s="2585"/>
      <c r="I3" s="2585"/>
      <c r="J3" s="2585"/>
      <c r="K3" s="1478" t="s">
        <v>519</v>
      </c>
    </row>
    <row r="4" spans="2:11" x14ac:dyDescent="0.2">
      <c r="B4" s="18"/>
      <c r="C4" s="845">
        <v>2016</v>
      </c>
      <c r="D4" s="845">
        <v>2018</v>
      </c>
      <c r="E4" s="845">
        <v>2019</v>
      </c>
      <c r="F4" s="845">
        <v>2020</v>
      </c>
      <c r="G4" s="845">
        <v>2021</v>
      </c>
      <c r="H4" s="845">
        <v>2022</v>
      </c>
      <c r="I4" s="1097">
        <v>2023</v>
      </c>
      <c r="J4" s="845">
        <v>2024</v>
      </c>
      <c r="K4" s="1097">
        <v>2025</v>
      </c>
    </row>
    <row r="5" spans="2:11" x14ac:dyDescent="0.2">
      <c r="B5" s="18" t="s">
        <v>231</v>
      </c>
      <c r="C5" s="343">
        <v>-162</v>
      </c>
      <c r="D5" s="958">
        <v>0</v>
      </c>
      <c r="E5" s="958">
        <v>0</v>
      </c>
      <c r="F5" s="959">
        <v>0</v>
      </c>
      <c r="G5" s="959">
        <v>0</v>
      </c>
      <c r="H5" s="959"/>
      <c r="I5" s="958">
        <v>-296</v>
      </c>
      <c r="J5" s="1095"/>
      <c r="K5" s="1095"/>
    </row>
    <row r="6" spans="2:11" x14ac:dyDescent="0.2">
      <c r="B6" s="18"/>
      <c r="C6" s="18"/>
      <c r="D6" s="958"/>
      <c r="E6" s="958"/>
      <c r="F6" s="958"/>
      <c r="G6" s="958"/>
      <c r="H6" s="958"/>
      <c r="I6" s="958"/>
      <c r="J6" s="958"/>
      <c r="K6" s="958"/>
    </row>
    <row r="7" spans="2:11" x14ac:dyDescent="0.2">
      <c r="B7" s="18"/>
      <c r="C7" s="18"/>
      <c r="D7" s="958"/>
      <c r="E7" s="958"/>
      <c r="F7" s="958"/>
      <c r="G7" s="958"/>
      <c r="H7" s="958"/>
      <c r="I7" s="958"/>
      <c r="J7" s="958"/>
      <c r="K7" s="958"/>
    </row>
    <row r="8" spans="2:11" x14ac:dyDescent="0.2">
      <c r="B8" s="18"/>
      <c r="C8" s="18"/>
      <c r="D8" s="958"/>
      <c r="E8" s="958"/>
      <c r="F8" s="958"/>
      <c r="G8" s="958"/>
      <c r="H8" s="958"/>
      <c r="I8" s="958"/>
      <c r="J8" s="958"/>
      <c r="K8" s="958"/>
    </row>
    <row r="9" spans="2:11" x14ac:dyDescent="0.2">
      <c r="B9" s="18"/>
      <c r="C9" s="18"/>
      <c r="D9" s="958"/>
      <c r="E9" s="958"/>
      <c r="F9" s="958"/>
      <c r="G9" s="958"/>
      <c r="H9" s="958"/>
      <c r="I9" s="958"/>
      <c r="J9" s="958"/>
      <c r="K9" s="958"/>
    </row>
    <row r="10" spans="2:11" x14ac:dyDescent="0.2">
      <c r="B10" s="18"/>
      <c r="C10" s="18"/>
      <c r="D10" s="958"/>
      <c r="E10" s="958"/>
      <c r="F10" s="958"/>
      <c r="G10" s="958"/>
      <c r="H10" s="958"/>
      <c r="I10" s="958"/>
      <c r="J10" s="958"/>
      <c r="K10" s="958"/>
    </row>
    <row r="11" spans="2:11" x14ac:dyDescent="0.2">
      <c r="B11" s="18"/>
      <c r="C11" s="18"/>
      <c r="D11" s="958"/>
      <c r="E11" s="958"/>
      <c r="F11" s="958"/>
      <c r="G11" s="958"/>
      <c r="H11" s="958"/>
      <c r="I11" s="958"/>
      <c r="J11" s="958"/>
      <c r="K11" s="958"/>
    </row>
    <row r="12" spans="2:11" x14ac:dyDescent="0.2">
      <c r="B12" s="18"/>
      <c r="C12" s="18"/>
      <c r="D12" s="958"/>
      <c r="E12" s="958"/>
      <c r="F12" s="958"/>
      <c r="G12" s="958"/>
      <c r="H12" s="958"/>
      <c r="I12" s="958"/>
      <c r="J12" s="958">
        <v>0</v>
      </c>
      <c r="K12" s="989">
        <v>0</v>
      </c>
    </row>
    <row r="13" spans="2:11" ht="16" thickBot="1" x14ac:dyDescent="0.25">
      <c r="B13" s="286"/>
      <c r="C13" s="921">
        <f t="shared" ref="C13:E13" si="0">SUM(C5:C6)</f>
        <v>-162</v>
      </c>
      <c r="D13" s="921">
        <f t="shared" si="0"/>
        <v>0</v>
      </c>
      <c r="E13" s="921">
        <f t="shared" si="0"/>
        <v>0</v>
      </c>
      <c r="F13" s="921">
        <f>SUM(F5:F6)</f>
        <v>0</v>
      </c>
      <c r="G13" s="921">
        <f>SUM(G5:G6)</f>
        <v>0</v>
      </c>
      <c r="H13" s="921">
        <f t="shared" ref="H13:J13" si="1">SUM(H5:H6)</f>
        <v>0</v>
      </c>
      <c r="I13" s="1613">
        <f t="shared" si="1"/>
        <v>-296</v>
      </c>
      <c r="J13" s="1613">
        <f t="shared" si="1"/>
        <v>0</v>
      </c>
      <c r="K13" s="1442">
        <f>SUM(K5:K6)</f>
        <v>0</v>
      </c>
    </row>
    <row r="14" spans="2:11" ht="16" thickTop="1" x14ac:dyDescent="0.2"/>
    <row r="17" spans="2:4" x14ac:dyDescent="0.2">
      <c r="B17" s="2097" t="s">
        <v>231</v>
      </c>
      <c r="C17" s="2098"/>
      <c r="D17" s="14" t="s">
        <v>847</v>
      </c>
    </row>
    <row r="18" spans="2:4" x14ac:dyDescent="0.2">
      <c r="B18" s="14" t="s">
        <v>846</v>
      </c>
    </row>
    <row r="19" spans="2:4" x14ac:dyDescent="0.2">
      <c r="B19" s="2099" t="s">
        <v>973</v>
      </c>
      <c r="C19" s="2099"/>
    </row>
  </sheetData>
  <mergeCells count="3">
    <mergeCell ref="B1:K1"/>
    <mergeCell ref="B2:K2"/>
    <mergeCell ref="C3:J3"/>
  </mergeCells>
  <conditionalFormatting sqref="B1:C1">
    <cfRule type="cellIs" dxfId="19" priority="1" operator="equal">
      <formula>0</formula>
    </cfRule>
  </conditionalFormatting>
  <hyperlinks>
    <hyperlink ref="B1" location="Summary!A1" display="Summary!A1" xr:uid="{45D2A5E1-192D-402D-B8C7-4C1F00B2F37E}"/>
    <hyperlink ref="K13" location="Summary!T61" display="Summary!T61" xr:uid="{35E83E37-A7CD-4307-8659-970EBF564164}"/>
    <hyperlink ref="B19" r:id="rId1" display="https://www.galatent.co.uk/product/09060" xr:uid="{0B9C45A9-BC2F-455F-9ECE-8534EA508468}"/>
  </hyperlinks>
  <printOptions horizontalCentered="1"/>
  <pageMargins left="0.70866141732283472" right="0.70866141732283472" top="0.74803149606299213" bottom="0.74803149606299213" header="0.31496062992125984" footer="0.31496062992125984"/>
  <pageSetup paperSize="9" orientation="portrait"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rgb="FF00FF00"/>
    <pageSetUpPr fitToPage="1"/>
  </sheetPr>
  <dimension ref="A1:T47"/>
  <sheetViews>
    <sheetView zoomScaleNormal="100" zoomScaleSheetLayoutView="100" workbookViewId="0">
      <pane xSplit="11" ySplit="5" topLeftCell="L39"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6.6640625" style="314" customWidth="1"/>
    <col min="2" max="2" width="36" style="2" customWidth="1"/>
    <col min="3" max="3" width="6.33203125" style="2" hidden="1" customWidth="1"/>
    <col min="4" max="4" width="6.33203125" style="1926" hidden="1" customWidth="1"/>
    <col min="5" max="5" width="6.33203125" style="2" hidden="1" customWidth="1"/>
    <col min="6" max="6" width="6.6640625" style="2" hidden="1" customWidth="1"/>
    <col min="7" max="7" width="7.83203125" style="2" hidden="1" customWidth="1"/>
    <col min="8" max="8" width="8" style="2" hidden="1" customWidth="1"/>
    <col min="9" max="10" width="6.83203125" style="2" hidden="1" customWidth="1"/>
    <col min="11" max="11" width="5.33203125" style="2" hidden="1" customWidth="1"/>
    <col min="12" max="13" width="7" style="2" customWidth="1"/>
    <col min="14" max="14" width="6.6640625" style="2" customWidth="1"/>
    <col min="15" max="15" width="7.83203125" style="2" bestFit="1" customWidth="1"/>
    <col min="16" max="16" width="8.83203125" style="2"/>
    <col min="17" max="17" width="10.5" style="2" bestFit="1" customWidth="1"/>
    <col min="18" max="18" width="23.1640625" style="2" bestFit="1" customWidth="1"/>
    <col min="19" max="19" width="34.5" style="2" bestFit="1" customWidth="1"/>
    <col min="20" max="20" width="8.6640625" style="1926" bestFit="1" customWidth="1"/>
    <col min="21" max="16384" width="8.83203125" style="2"/>
  </cols>
  <sheetData>
    <row r="1" spans="1:20" s="1683" customFormat="1" ht="24" x14ac:dyDescent="0.2">
      <c r="A1" s="1912"/>
      <c r="B1" s="2289" t="s">
        <v>725</v>
      </c>
      <c r="C1" s="2289"/>
      <c r="D1" s="2289"/>
      <c r="E1" s="2289"/>
      <c r="F1" s="2289"/>
      <c r="G1" s="2289"/>
      <c r="H1" s="2289"/>
      <c r="I1" s="2289"/>
      <c r="J1" s="2289"/>
      <c r="K1" s="2289"/>
      <c r="L1" s="2289"/>
      <c r="M1" s="2289"/>
      <c r="N1" s="2289"/>
      <c r="O1" s="2289"/>
      <c r="T1" s="2042"/>
    </row>
    <row r="2" spans="1:20" ht="16" x14ac:dyDescent="0.2">
      <c r="B2" s="2447" t="s">
        <v>604</v>
      </c>
      <c r="C2" s="2447"/>
      <c r="D2" s="2447"/>
      <c r="E2" s="2447"/>
      <c r="F2" s="2447"/>
      <c r="G2" s="2447"/>
      <c r="H2" s="2447"/>
      <c r="I2" s="2447"/>
      <c r="J2" s="2447"/>
      <c r="K2" s="2447"/>
      <c r="L2" s="2447"/>
      <c r="M2" s="2447"/>
      <c r="N2" s="2447"/>
      <c r="O2" s="2447"/>
    </row>
    <row r="3" spans="1:20" x14ac:dyDescent="0.2">
      <c r="B3" s="12"/>
      <c r="C3" s="12"/>
      <c r="D3" s="1166"/>
      <c r="E3" s="12"/>
      <c r="F3" s="12"/>
      <c r="G3" s="12"/>
      <c r="H3" s="12"/>
      <c r="I3" s="12"/>
      <c r="J3" s="12"/>
      <c r="K3" s="12"/>
      <c r="L3" s="12"/>
      <c r="M3" s="12"/>
      <c r="N3" s="12"/>
      <c r="O3" s="12"/>
    </row>
    <row r="4" spans="1:20" x14ac:dyDescent="0.2">
      <c r="B4" s="12"/>
      <c r="C4" s="51">
        <v>2014</v>
      </c>
      <c r="D4" s="51">
        <v>2015</v>
      </c>
      <c r="E4" s="51">
        <v>2016</v>
      </c>
      <c r="F4" s="2237">
        <v>2017</v>
      </c>
      <c r="G4" s="2237"/>
      <c r="H4" s="51">
        <v>2018</v>
      </c>
      <c r="I4" s="51">
        <v>2019</v>
      </c>
      <c r="J4" s="51">
        <v>2020</v>
      </c>
      <c r="K4" s="51">
        <v>2021</v>
      </c>
      <c r="L4" s="2589" t="s">
        <v>481</v>
      </c>
      <c r="M4" s="2589"/>
      <c r="N4" s="2589"/>
      <c r="O4" s="1473" t="s">
        <v>519</v>
      </c>
    </row>
    <row r="5" spans="1:20" x14ac:dyDescent="0.2">
      <c r="B5" s="12"/>
      <c r="C5" s="2588" t="s">
        <v>520</v>
      </c>
      <c r="D5" s="2588"/>
      <c r="E5" s="2588"/>
      <c r="F5" s="2588"/>
      <c r="G5" s="2588"/>
      <c r="H5" s="2588"/>
      <c r="I5" s="2588"/>
      <c r="J5" s="2588"/>
      <c r="K5" s="2588"/>
      <c r="L5" s="317">
        <v>2022</v>
      </c>
      <c r="M5" s="317">
        <v>2023</v>
      </c>
      <c r="N5" s="317">
        <v>2024</v>
      </c>
      <c r="O5" s="317">
        <v>2025</v>
      </c>
    </row>
    <row r="6" spans="1:20" hidden="1" x14ac:dyDescent="0.2">
      <c r="B6" s="12" t="s">
        <v>608</v>
      </c>
      <c r="C6" s="935"/>
      <c r="D6" s="708"/>
      <c r="E6" s="935"/>
      <c r="F6" s="935"/>
      <c r="G6" s="735">
        <v>-4</v>
      </c>
      <c r="H6" s="735"/>
      <c r="I6" s="735"/>
      <c r="J6" s="2587">
        <v>-87</v>
      </c>
      <c r="K6" s="935"/>
      <c r="L6" s="2587"/>
      <c r="M6" s="935"/>
      <c r="N6" s="1305"/>
      <c r="O6" s="935"/>
    </row>
    <row r="7" spans="1:20" hidden="1" x14ac:dyDescent="0.2">
      <c r="B7" s="12" t="s">
        <v>351</v>
      </c>
      <c r="C7" s="708">
        <v>-34.5</v>
      </c>
      <c r="D7" s="708"/>
      <c r="E7" s="935"/>
      <c r="F7" s="935"/>
      <c r="G7" s="735"/>
      <c r="H7" s="735"/>
      <c r="I7" s="735"/>
      <c r="J7" s="2587"/>
      <c r="K7" s="935"/>
      <c r="L7" s="2587"/>
      <c r="M7" s="935"/>
      <c r="N7" s="1305"/>
      <c r="O7" s="935"/>
    </row>
    <row r="8" spans="1:20" hidden="1" x14ac:dyDescent="0.2">
      <c r="B8" s="12" t="s">
        <v>337</v>
      </c>
      <c r="C8" s="708">
        <v>-78.819999999999993</v>
      </c>
      <c r="D8" s="708"/>
      <c r="E8" s="935"/>
      <c r="F8" s="935"/>
      <c r="G8" s="735"/>
      <c r="H8" s="735"/>
      <c r="I8" s="735"/>
      <c r="J8" s="2587"/>
      <c r="K8" s="935"/>
      <c r="L8" s="2587"/>
      <c r="M8" s="935"/>
      <c r="N8" s="1305"/>
      <c r="O8" s="935"/>
    </row>
    <row r="9" spans="1:20" hidden="1" x14ac:dyDescent="0.2">
      <c r="B9" s="12" t="s">
        <v>610</v>
      </c>
      <c r="C9" s="708"/>
      <c r="D9" s="935"/>
      <c r="E9" s="708"/>
      <c r="F9" s="935"/>
      <c r="G9" s="735">
        <v>84</v>
      </c>
      <c r="H9" s="735">
        <v>104.1</v>
      </c>
      <c r="I9" s="735">
        <v>44.41</v>
      </c>
      <c r="J9" s="2587"/>
      <c r="K9" s="935"/>
      <c r="L9" s="2587"/>
      <c r="M9" s="935"/>
      <c r="N9" s="1305"/>
      <c r="O9" s="935"/>
    </row>
    <row r="10" spans="1:20" hidden="1" x14ac:dyDescent="0.2">
      <c r="B10" s="12" t="s">
        <v>609</v>
      </c>
      <c r="C10" s="708">
        <v>-184.21999999999994</v>
      </c>
      <c r="D10" s="935">
        <v>-102.64999999999999</v>
      </c>
      <c r="E10" s="708">
        <v>-166.45000000000002</v>
      </c>
      <c r="F10" s="935">
        <v>-165</v>
      </c>
      <c r="G10" s="2586">
        <v>-227</v>
      </c>
      <c r="H10" s="2586">
        <f>-199.78+1.8-13.49</f>
        <v>-211.47</v>
      </c>
      <c r="I10" s="2586">
        <v>-104.82</v>
      </c>
      <c r="J10" s="2587"/>
      <c r="K10" s="935">
        <v>-45</v>
      </c>
      <c r="L10" s="2587"/>
      <c r="M10" s="935"/>
      <c r="N10" s="1305"/>
      <c r="O10" s="935"/>
    </row>
    <row r="11" spans="1:20" hidden="1" x14ac:dyDescent="0.2">
      <c r="B11" s="12" t="s">
        <v>338</v>
      </c>
      <c r="C11" s="708">
        <v>-71.319999999999993</v>
      </c>
      <c r="D11" s="935">
        <v>-87.11</v>
      </c>
      <c r="E11" s="708">
        <v>-25.909999999999997</v>
      </c>
      <c r="F11" s="935">
        <v>-50</v>
      </c>
      <c r="G11" s="2586"/>
      <c r="H11" s="2586"/>
      <c r="I11" s="2586"/>
      <c r="J11" s="2587"/>
      <c r="K11" s="935"/>
      <c r="L11" s="2587"/>
      <c r="M11" s="935"/>
      <c r="N11" s="1305"/>
      <c r="O11" s="935"/>
    </row>
    <row r="12" spans="1:20" hidden="1" x14ac:dyDescent="0.2">
      <c r="B12" s="12" t="s">
        <v>340</v>
      </c>
      <c r="C12" s="708">
        <v>-34</v>
      </c>
      <c r="D12" s="708"/>
      <c r="E12" s="935"/>
      <c r="F12" s="935"/>
      <c r="G12" s="735"/>
      <c r="H12" s="735"/>
      <c r="I12" s="735"/>
      <c r="J12" s="2587"/>
      <c r="K12" s="935"/>
      <c r="L12" s="2587"/>
      <c r="M12" s="935"/>
      <c r="N12" s="1305"/>
      <c r="O12" s="935"/>
    </row>
    <row r="13" spans="1:20" hidden="1" x14ac:dyDescent="0.2">
      <c r="B13" s="12" t="s">
        <v>341</v>
      </c>
      <c r="C13" s="708">
        <v>-33.06</v>
      </c>
      <c r="D13" s="708"/>
      <c r="E13" s="935"/>
      <c r="F13" s="935"/>
      <c r="G13" s="735"/>
      <c r="H13" s="735"/>
      <c r="I13" s="735"/>
      <c r="J13" s="2587"/>
      <c r="K13" s="935"/>
      <c r="L13" s="2587"/>
      <c r="M13" s="935"/>
      <c r="N13" s="1305"/>
      <c r="O13" s="935"/>
    </row>
    <row r="14" spans="1:20" hidden="1" x14ac:dyDescent="0.2">
      <c r="B14" s="12" t="s">
        <v>339</v>
      </c>
      <c r="C14" s="708">
        <v>-25.9</v>
      </c>
      <c r="D14" s="935">
        <v>-6.79</v>
      </c>
      <c r="E14" s="935">
        <v>-5.98</v>
      </c>
      <c r="F14" s="935">
        <v>-20</v>
      </c>
      <c r="G14" s="735"/>
      <c r="H14" s="735"/>
      <c r="I14" s="735"/>
      <c r="J14" s="2587"/>
      <c r="K14" s="935"/>
      <c r="L14" s="2587"/>
      <c r="M14" s="935"/>
      <c r="N14" s="1305"/>
      <c r="O14" s="935"/>
    </row>
    <row r="15" spans="1:20" hidden="1" x14ac:dyDescent="0.2">
      <c r="B15" s="12" t="s">
        <v>398</v>
      </c>
      <c r="C15" s="708"/>
      <c r="D15" s="935">
        <v>-21.45</v>
      </c>
      <c r="E15" s="935"/>
      <c r="F15" s="935"/>
      <c r="G15" s="735"/>
      <c r="H15" s="735"/>
      <c r="I15" s="735"/>
      <c r="J15" s="2587"/>
      <c r="K15" s="935"/>
      <c r="L15" s="2587"/>
      <c r="M15" s="935"/>
      <c r="N15" s="1305"/>
      <c r="O15" s="935"/>
    </row>
    <row r="16" spans="1:20" hidden="1" x14ac:dyDescent="0.2">
      <c r="B16" s="12" t="s">
        <v>399</v>
      </c>
      <c r="C16" s="708"/>
      <c r="D16" s="708"/>
      <c r="E16" s="935">
        <v>-1</v>
      </c>
      <c r="F16" s="935"/>
      <c r="G16" s="735"/>
      <c r="H16" s="735"/>
      <c r="I16" s="735"/>
      <c r="J16" s="2587"/>
      <c r="K16" s="935"/>
      <c r="L16" s="2587"/>
      <c r="M16" s="935"/>
      <c r="N16" s="1305"/>
      <c r="O16" s="935"/>
    </row>
    <row r="17" spans="2:20" hidden="1" x14ac:dyDescent="0.2">
      <c r="B17" s="12" t="s">
        <v>607</v>
      </c>
      <c r="C17" s="708"/>
      <c r="D17" s="708"/>
      <c r="E17" s="935"/>
      <c r="F17" s="935"/>
      <c r="G17" s="735">
        <v>-6</v>
      </c>
      <c r="H17" s="735"/>
      <c r="I17" s="735"/>
      <c r="J17" s="2587"/>
      <c r="K17" s="935"/>
      <c r="L17" s="2587"/>
      <c r="M17" s="935"/>
      <c r="N17" s="1305"/>
      <c r="O17" s="935"/>
    </row>
    <row r="18" spans="2:20" hidden="1" x14ac:dyDescent="0.2">
      <c r="B18" s="12" t="s">
        <v>605</v>
      </c>
      <c r="C18" s="708"/>
      <c r="D18" s="708"/>
      <c r="E18" s="935"/>
      <c r="F18" s="935"/>
      <c r="G18" s="735">
        <v>-53</v>
      </c>
      <c r="H18" s="735">
        <v>-61.31</v>
      </c>
      <c r="I18" s="735"/>
      <c r="J18" s="2587"/>
      <c r="K18" s="935"/>
      <c r="L18" s="2587"/>
      <c r="M18" s="935"/>
      <c r="N18" s="1305"/>
      <c r="O18" s="935"/>
    </row>
    <row r="19" spans="2:20" hidden="1" x14ac:dyDescent="0.2">
      <c r="B19" s="12" t="s">
        <v>606</v>
      </c>
      <c r="C19" s="708"/>
      <c r="D19" s="708"/>
      <c r="E19" s="935"/>
      <c r="F19" s="935"/>
      <c r="G19" s="735">
        <v>1</v>
      </c>
      <c r="H19" s="735"/>
      <c r="I19" s="735"/>
      <c r="J19" s="2587"/>
      <c r="K19" s="935"/>
      <c r="L19" s="2587"/>
      <c r="M19" s="935"/>
      <c r="N19" s="1305"/>
      <c r="O19" s="935"/>
    </row>
    <row r="20" spans="2:20" hidden="1" x14ac:dyDescent="0.2">
      <c r="B20" s="12" t="s">
        <v>692</v>
      </c>
      <c r="C20" s="708"/>
      <c r="D20" s="708"/>
      <c r="E20" s="935"/>
      <c r="F20" s="935"/>
      <c r="G20" s="735"/>
      <c r="H20" s="735">
        <v>-11.8</v>
      </c>
      <c r="I20" s="735"/>
      <c r="J20" s="2587"/>
      <c r="K20" s="935"/>
      <c r="L20" s="2587"/>
      <c r="M20" s="935"/>
      <c r="N20" s="1305"/>
      <c r="O20" s="935"/>
    </row>
    <row r="21" spans="2:20" hidden="1" x14ac:dyDescent="0.2">
      <c r="B21" s="18" t="s">
        <v>835</v>
      </c>
      <c r="C21" s="708"/>
      <c r="D21" s="708"/>
      <c r="E21" s="935"/>
      <c r="F21" s="935"/>
      <c r="G21" s="735"/>
      <c r="H21" s="735"/>
      <c r="I21" s="735">
        <v>4</v>
      </c>
      <c r="J21" s="2587"/>
      <c r="K21" s="935"/>
      <c r="L21" s="2587"/>
      <c r="M21" s="935"/>
      <c r="N21" s="1305"/>
      <c r="O21" s="935"/>
    </row>
    <row r="22" spans="2:20" hidden="1" x14ac:dyDescent="0.2">
      <c r="B22" s="18" t="s">
        <v>836</v>
      </c>
      <c r="C22" s="708"/>
      <c r="D22" s="708"/>
      <c r="E22" s="935"/>
      <c r="F22" s="935"/>
      <c r="G22" s="735"/>
      <c r="H22" s="735"/>
      <c r="I22" s="735">
        <v>-64.67</v>
      </c>
      <c r="J22" s="2587"/>
      <c r="K22" s="935"/>
      <c r="L22" s="2587"/>
      <c r="M22" s="935"/>
      <c r="N22" s="1305"/>
      <c r="O22" s="935"/>
    </row>
    <row r="23" spans="2:20" hidden="1" x14ac:dyDescent="0.2">
      <c r="B23" s="12" t="s">
        <v>837</v>
      </c>
      <c r="C23" s="708"/>
      <c r="D23" s="708"/>
      <c r="E23" s="935"/>
      <c r="F23" s="935"/>
      <c r="G23" s="735"/>
      <c r="H23" s="735"/>
      <c r="I23" s="735">
        <v>-63</v>
      </c>
      <c r="J23" s="2587"/>
      <c r="K23" s="935"/>
      <c r="L23" s="2587"/>
      <c r="M23" s="935"/>
      <c r="N23" s="1305"/>
      <c r="O23" s="935"/>
    </row>
    <row r="24" spans="2:20" x14ac:dyDescent="0.2">
      <c r="B24" s="12" t="s">
        <v>1041</v>
      </c>
      <c r="C24" s="708"/>
      <c r="D24" s="708"/>
      <c r="E24" s="935"/>
      <c r="F24" s="935"/>
      <c r="G24" s="735"/>
      <c r="H24" s="735"/>
      <c r="I24" s="735"/>
      <c r="J24" s="2587"/>
      <c r="K24" s="935"/>
      <c r="L24" s="935">
        <v>-4.75</v>
      </c>
      <c r="M24" s="935"/>
      <c r="N24" s="1305"/>
      <c r="O24" s="935"/>
    </row>
    <row r="25" spans="2:20" x14ac:dyDescent="0.2">
      <c r="B25" s="12" t="s">
        <v>1042</v>
      </c>
      <c r="C25" s="708"/>
      <c r="D25" s="708"/>
      <c r="E25" s="935"/>
      <c r="F25" s="935"/>
      <c r="G25" s="735"/>
      <c r="H25" s="735"/>
      <c r="I25" s="735"/>
      <c r="J25" s="2587"/>
      <c r="K25" s="935"/>
      <c r="L25" s="935">
        <v>-15.1</v>
      </c>
      <c r="M25" s="935"/>
      <c r="N25" s="1305"/>
      <c r="O25" s="935"/>
    </row>
    <row r="26" spans="2:20" x14ac:dyDescent="0.2">
      <c r="B26" s="12" t="s">
        <v>1043</v>
      </c>
      <c r="C26" s="708"/>
      <c r="D26" s="708"/>
      <c r="E26" s="935"/>
      <c r="F26" s="935"/>
      <c r="G26" s="735"/>
      <c r="H26" s="735"/>
      <c r="I26" s="735"/>
      <c r="J26" s="2587"/>
      <c r="K26" s="935"/>
      <c r="L26" s="935">
        <v>-19.850000000000001</v>
      </c>
      <c r="M26" s="935"/>
      <c r="N26" s="1305"/>
      <c r="O26" s="935"/>
    </row>
    <row r="27" spans="2:20" x14ac:dyDescent="0.2">
      <c r="B27" s="12" t="s">
        <v>1044</v>
      </c>
      <c r="C27" s="708"/>
      <c r="D27" s="708"/>
      <c r="E27" s="935"/>
      <c r="F27" s="935"/>
      <c r="G27" s="735"/>
      <c r="H27" s="735"/>
      <c r="I27" s="735"/>
      <c r="J27" s="2587"/>
      <c r="K27" s="935"/>
      <c r="L27" s="935">
        <v>-11.92</v>
      </c>
      <c r="M27" s="935"/>
      <c r="N27" s="1305"/>
      <c r="O27" s="935"/>
    </row>
    <row r="28" spans="2:20" x14ac:dyDescent="0.2">
      <c r="B28" s="12" t="s">
        <v>1045</v>
      </c>
      <c r="C28" s="708"/>
      <c r="D28" s="708"/>
      <c r="E28" s="935"/>
      <c r="F28" s="935"/>
      <c r="G28" s="735"/>
      <c r="H28" s="735"/>
      <c r="I28" s="735"/>
      <c r="J28" s="2587"/>
      <c r="K28" s="935"/>
      <c r="L28" s="935">
        <v>-18.899999999999999</v>
      </c>
      <c r="M28" s="935"/>
      <c r="N28" s="1305"/>
      <c r="O28" s="935"/>
    </row>
    <row r="29" spans="2:20" x14ac:dyDescent="0.2">
      <c r="B29" s="330" t="s">
        <v>1343</v>
      </c>
      <c r="C29" s="708"/>
      <c r="D29" s="708"/>
      <c r="E29" s="935"/>
      <c r="F29" s="935"/>
      <c r="G29" s="735"/>
      <c r="H29" s="735"/>
      <c r="I29" s="735"/>
      <c r="J29" s="2587"/>
      <c r="K29" s="935"/>
      <c r="L29" s="935"/>
      <c r="M29" s="935"/>
      <c r="N29" s="952">
        <v>-31.57</v>
      </c>
      <c r="O29" s="935"/>
    </row>
    <row r="30" spans="2:20" x14ac:dyDescent="0.2">
      <c r="B30" s="331" t="s">
        <v>1344</v>
      </c>
      <c r="C30" s="708"/>
      <c r="D30" s="708"/>
      <c r="E30" s="935"/>
      <c r="F30" s="935"/>
      <c r="G30" s="735"/>
      <c r="H30" s="735"/>
      <c r="I30" s="735"/>
      <c r="J30" s="2587"/>
      <c r="K30" s="935"/>
      <c r="L30" s="935"/>
      <c r="M30" s="935"/>
      <c r="N30" s="952">
        <v>-10.64</v>
      </c>
      <c r="O30" s="935"/>
      <c r="Q30" s="1218">
        <v>45312</v>
      </c>
      <c r="R30" s="330" t="s">
        <v>100</v>
      </c>
      <c r="S30" s="330" t="s">
        <v>1343</v>
      </c>
      <c r="T30" s="1300">
        <v>-31.57</v>
      </c>
    </row>
    <row r="31" spans="2:20" x14ac:dyDescent="0.2">
      <c r="B31" s="330" t="s">
        <v>1345</v>
      </c>
      <c r="C31" s="708"/>
      <c r="D31" s="708"/>
      <c r="E31" s="935"/>
      <c r="F31" s="935"/>
      <c r="G31" s="735"/>
      <c r="H31" s="735"/>
      <c r="I31" s="735"/>
      <c r="J31" s="2587"/>
      <c r="K31" s="935"/>
      <c r="L31" s="935"/>
      <c r="M31" s="935"/>
      <c r="N31" s="952">
        <v>-9.35</v>
      </c>
      <c r="O31" s="935"/>
      <c r="Q31" s="1217">
        <v>45402</v>
      </c>
      <c r="R31" s="331" t="s">
        <v>117</v>
      </c>
      <c r="S31" s="331" t="s">
        <v>1344</v>
      </c>
      <c r="T31" s="1300">
        <v>-10.64</v>
      </c>
    </row>
    <row r="32" spans="2:20" x14ac:dyDescent="0.2">
      <c r="B32" s="331" t="s">
        <v>1346</v>
      </c>
      <c r="C32" s="708"/>
      <c r="D32" s="708"/>
      <c r="E32" s="935"/>
      <c r="F32" s="935"/>
      <c r="G32" s="735"/>
      <c r="H32" s="735"/>
      <c r="I32" s="735"/>
      <c r="J32" s="2587"/>
      <c r="K32" s="935"/>
      <c r="L32" s="935"/>
      <c r="M32" s="935"/>
      <c r="N32" s="952">
        <v>-1.5</v>
      </c>
      <c r="O32" s="935"/>
      <c r="Q32" s="1218">
        <v>45433</v>
      </c>
      <c r="R32" s="330" t="s">
        <v>117</v>
      </c>
      <c r="S32" s="330" t="s">
        <v>1345</v>
      </c>
      <c r="T32" s="1300">
        <v>-9.35</v>
      </c>
    </row>
    <row r="33" spans="2:20" x14ac:dyDescent="0.2">
      <c r="B33" s="330" t="s">
        <v>1347</v>
      </c>
      <c r="C33" s="708"/>
      <c r="D33" s="708"/>
      <c r="E33" s="935"/>
      <c r="F33" s="935"/>
      <c r="G33" s="735"/>
      <c r="H33" s="735"/>
      <c r="I33" s="735"/>
      <c r="J33" s="2587"/>
      <c r="K33" s="935"/>
      <c r="L33" s="935"/>
      <c r="M33" s="935"/>
      <c r="N33" s="952">
        <v>-1</v>
      </c>
      <c r="O33" s="935"/>
      <c r="Q33" s="1217">
        <v>45433</v>
      </c>
      <c r="R33" s="331" t="s">
        <v>1170</v>
      </c>
      <c r="S33" s="331" t="s">
        <v>1346</v>
      </c>
      <c r="T33" s="1300">
        <v>-1.5</v>
      </c>
    </row>
    <row r="34" spans="2:20" x14ac:dyDescent="0.2">
      <c r="B34" s="331" t="s">
        <v>1348</v>
      </c>
      <c r="C34" s="708"/>
      <c r="D34" s="708"/>
      <c r="E34" s="935"/>
      <c r="F34" s="935"/>
      <c r="G34" s="735"/>
      <c r="H34" s="735"/>
      <c r="I34" s="735"/>
      <c r="J34" s="2587"/>
      <c r="K34" s="935"/>
      <c r="L34" s="935"/>
      <c r="M34" s="935"/>
      <c r="N34" s="952">
        <v>3</v>
      </c>
      <c r="O34" s="935"/>
      <c r="Q34" s="1218">
        <v>45433</v>
      </c>
      <c r="R34" s="330" t="s">
        <v>1170</v>
      </c>
      <c r="S34" s="330" t="s">
        <v>1347</v>
      </c>
      <c r="T34" s="1300">
        <v>-1</v>
      </c>
    </row>
    <row r="35" spans="2:20" x14ac:dyDescent="0.2">
      <c r="B35" s="330" t="s">
        <v>1349</v>
      </c>
      <c r="C35" s="708"/>
      <c r="D35" s="708"/>
      <c r="E35" s="935"/>
      <c r="F35" s="935"/>
      <c r="G35" s="735"/>
      <c r="H35" s="735"/>
      <c r="I35" s="735"/>
      <c r="J35" s="2587"/>
      <c r="K35" s="935"/>
      <c r="L35" s="935"/>
      <c r="M35" s="935"/>
      <c r="N35" s="952">
        <v>-46.56</v>
      </c>
      <c r="O35" s="935"/>
      <c r="Q35" s="1217">
        <v>45433</v>
      </c>
      <c r="R35" s="331" t="s">
        <v>1139</v>
      </c>
      <c r="S35" s="331" t="s">
        <v>1348</v>
      </c>
      <c r="T35" s="1300">
        <v>3</v>
      </c>
    </row>
    <row r="36" spans="2:20" x14ac:dyDescent="0.2">
      <c r="B36" s="331" t="s">
        <v>1350</v>
      </c>
      <c r="C36" s="708"/>
      <c r="D36" s="708"/>
      <c r="E36" s="935"/>
      <c r="F36" s="935"/>
      <c r="G36" s="735"/>
      <c r="H36" s="735"/>
      <c r="I36" s="735"/>
      <c r="J36" s="2587"/>
      <c r="K36" s="935"/>
      <c r="L36" s="935"/>
      <c r="M36" s="935"/>
      <c r="N36" s="952">
        <v>-28.36</v>
      </c>
      <c r="O36" s="935"/>
      <c r="Q36" s="1218">
        <v>45434</v>
      </c>
      <c r="R36" s="330" t="s">
        <v>100</v>
      </c>
      <c r="S36" s="330" t="s">
        <v>1349</v>
      </c>
      <c r="T36" s="1300">
        <v>-46.56</v>
      </c>
    </row>
    <row r="37" spans="2:20" x14ac:dyDescent="0.2">
      <c r="B37" s="330" t="s">
        <v>1351</v>
      </c>
      <c r="C37" s="708"/>
      <c r="D37" s="708"/>
      <c r="E37" s="935"/>
      <c r="F37" s="935"/>
      <c r="G37" s="735"/>
      <c r="H37" s="735"/>
      <c r="I37" s="735"/>
      <c r="J37" s="2587"/>
      <c r="K37" s="935"/>
      <c r="L37" s="935"/>
      <c r="M37" s="935"/>
      <c r="N37" s="952">
        <v>-4</v>
      </c>
      <c r="O37" s="935"/>
      <c r="Q37" s="1217">
        <v>45489</v>
      </c>
      <c r="R37" s="331" t="s">
        <v>100</v>
      </c>
      <c r="S37" s="331" t="s">
        <v>1350</v>
      </c>
      <c r="T37" s="1300">
        <v>-28.36</v>
      </c>
    </row>
    <row r="38" spans="2:20" x14ac:dyDescent="0.2">
      <c r="B38" s="331" t="s">
        <v>1352</v>
      </c>
      <c r="C38" s="708"/>
      <c r="D38" s="708"/>
      <c r="E38" s="935"/>
      <c r="F38" s="935"/>
      <c r="G38" s="735"/>
      <c r="H38" s="735"/>
      <c r="I38" s="735"/>
      <c r="J38" s="2587"/>
      <c r="K38" s="935"/>
      <c r="L38" s="935"/>
      <c r="M38" s="935"/>
      <c r="N38" s="952">
        <v>-1</v>
      </c>
      <c r="O38" s="935"/>
      <c r="Q38" s="1218">
        <v>45489</v>
      </c>
      <c r="R38" s="330" t="s">
        <v>1097</v>
      </c>
      <c r="S38" s="330" t="s">
        <v>1351</v>
      </c>
      <c r="T38" s="1300">
        <v>-4</v>
      </c>
    </row>
    <row r="39" spans="2:20" x14ac:dyDescent="0.2">
      <c r="B39" s="330" t="s">
        <v>1353</v>
      </c>
      <c r="C39" s="708"/>
      <c r="D39" s="708"/>
      <c r="E39" s="935"/>
      <c r="F39" s="935"/>
      <c r="G39" s="735"/>
      <c r="H39" s="735"/>
      <c r="I39" s="735"/>
      <c r="J39" s="2587"/>
      <c r="K39" s="935"/>
      <c r="L39" s="935"/>
      <c r="M39" s="935"/>
      <c r="N39" s="952">
        <v>-1</v>
      </c>
      <c r="O39" s="935"/>
      <c r="Q39" s="1217">
        <v>45495</v>
      </c>
      <c r="R39" s="331" t="s">
        <v>1170</v>
      </c>
      <c r="S39" s="331" t="s">
        <v>1352</v>
      </c>
      <c r="T39" s="1300">
        <v>-1</v>
      </c>
    </row>
    <row r="40" spans="2:20" x14ac:dyDescent="0.2">
      <c r="B40" s="331" t="s">
        <v>1354</v>
      </c>
      <c r="C40" s="708"/>
      <c r="D40" s="708"/>
      <c r="E40" s="935"/>
      <c r="F40" s="935"/>
      <c r="G40" s="735"/>
      <c r="H40" s="735"/>
      <c r="I40" s="735"/>
      <c r="J40" s="2587"/>
      <c r="K40" s="935"/>
      <c r="L40" s="935"/>
      <c r="M40" s="935"/>
      <c r="N40" s="952">
        <v>0.5</v>
      </c>
      <c r="O40" s="935"/>
      <c r="Q40" s="1218">
        <v>45495</v>
      </c>
      <c r="R40" s="330" t="s">
        <v>1170</v>
      </c>
      <c r="S40" s="330" t="s">
        <v>1353</v>
      </c>
      <c r="T40" s="1300">
        <v>-1</v>
      </c>
    </row>
    <row r="41" spans="2:20" x14ac:dyDescent="0.2">
      <c r="B41" s="330" t="s">
        <v>1355</v>
      </c>
      <c r="C41" s="708"/>
      <c r="D41" s="708"/>
      <c r="E41" s="935"/>
      <c r="F41" s="935"/>
      <c r="G41" s="735"/>
      <c r="H41" s="735"/>
      <c r="I41" s="735"/>
      <c r="J41" s="2587"/>
      <c r="K41" s="935"/>
      <c r="L41" s="935"/>
      <c r="M41" s="935"/>
      <c r="N41" s="952">
        <v>-1</v>
      </c>
      <c r="O41" s="935"/>
      <c r="Q41" s="1217">
        <v>45495</v>
      </c>
      <c r="R41" s="331" t="s">
        <v>1170</v>
      </c>
      <c r="S41" s="331" t="s">
        <v>1354</v>
      </c>
      <c r="T41" s="1300">
        <v>0.5</v>
      </c>
    </row>
    <row r="42" spans="2:20" x14ac:dyDescent="0.2">
      <c r="B42" s="331" t="s">
        <v>1356</v>
      </c>
      <c r="C42" s="708"/>
      <c r="D42" s="708"/>
      <c r="E42" s="935"/>
      <c r="F42" s="935"/>
      <c r="G42" s="735"/>
      <c r="H42" s="735"/>
      <c r="I42" s="735"/>
      <c r="J42" s="2587"/>
      <c r="K42" s="935"/>
      <c r="L42" s="935"/>
      <c r="M42" s="935"/>
      <c r="N42" s="952">
        <v>-1</v>
      </c>
      <c r="O42" s="935"/>
      <c r="Q42" s="1218">
        <v>45535</v>
      </c>
      <c r="R42" s="330" t="s">
        <v>1170</v>
      </c>
      <c r="S42" s="330" t="s">
        <v>1355</v>
      </c>
      <c r="T42" s="1300">
        <v>-1</v>
      </c>
    </row>
    <row r="43" spans="2:20" x14ac:dyDescent="0.2">
      <c r="B43" s="330" t="s">
        <v>1357</v>
      </c>
      <c r="C43" s="708"/>
      <c r="D43" s="708"/>
      <c r="E43" s="935"/>
      <c r="F43" s="935"/>
      <c r="G43" s="735"/>
      <c r="H43" s="735"/>
      <c r="I43" s="735"/>
      <c r="J43" s="2587"/>
      <c r="K43" s="935"/>
      <c r="L43" s="935"/>
      <c r="M43" s="935"/>
      <c r="N43" s="952">
        <v>-1.3</v>
      </c>
      <c r="O43" s="935"/>
      <c r="Q43" s="1217">
        <v>45550</v>
      </c>
      <c r="R43" s="331" t="s">
        <v>1170</v>
      </c>
      <c r="S43" s="331" t="s">
        <v>1356</v>
      </c>
      <c r="T43" s="1300">
        <v>-1</v>
      </c>
    </row>
    <row r="44" spans="2:20" x14ac:dyDescent="0.2">
      <c r="B44" s="12"/>
      <c r="C44" s="708"/>
      <c r="D44" s="708"/>
      <c r="E44" s="935"/>
      <c r="F44" s="935"/>
      <c r="G44" s="735"/>
      <c r="H44" s="735"/>
      <c r="I44" s="735"/>
      <c r="J44" s="2587"/>
      <c r="K44" s="935"/>
      <c r="L44" s="935"/>
      <c r="M44" s="935"/>
      <c r="N44" s="1305"/>
      <c r="O44" s="935"/>
      <c r="Q44" s="1218">
        <v>45565</v>
      </c>
      <c r="R44" s="330" t="s">
        <v>118</v>
      </c>
      <c r="S44" s="330" t="s">
        <v>1357</v>
      </c>
      <c r="T44" s="1300">
        <v>-1.3</v>
      </c>
    </row>
    <row r="45" spans="2:20" x14ac:dyDescent="0.2">
      <c r="B45" s="337" t="s">
        <v>1076</v>
      </c>
      <c r="C45" s="708"/>
      <c r="D45" s="708"/>
      <c r="E45" s="935"/>
      <c r="F45" s="935"/>
      <c r="G45" s="735"/>
      <c r="H45" s="735"/>
      <c r="I45" s="735"/>
      <c r="J45" s="2587"/>
      <c r="K45" s="935"/>
      <c r="L45" s="935"/>
      <c r="M45" s="935">
        <v>-112</v>
      </c>
      <c r="N45" s="1305"/>
      <c r="O45" s="982">
        <v>-130</v>
      </c>
      <c r="Q45" s="12"/>
      <c r="R45" s="12"/>
      <c r="S45" s="12"/>
      <c r="T45" s="1300">
        <f>SUM(T30:T44)</f>
        <v>-134.78000000000003</v>
      </c>
    </row>
    <row r="46" spans="2:20" ht="16" thickBot="1" x14ac:dyDescent="0.25">
      <c r="B46" s="60"/>
      <c r="C46" s="733">
        <f>SUM(C5:C45)</f>
        <v>-461.81999999999994</v>
      </c>
      <c r="D46" s="733">
        <f t="shared" ref="D46:H46" si="0">SUM(D5:D45)</f>
        <v>-217.99999999999997</v>
      </c>
      <c r="E46" s="733">
        <f t="shared" si="0"/>
        <v>-199.34</v>
      </c>
      <c r="F46" s="733">
        <f t="shared" si="0"/>
        <v>-235</v>
      </c>
      <c r="G46" s="733">
        <f t="shared" si="0"/>
        <v>-205</v>
      </c>
      <c r="H46" s="733">
        <f t="shared" si="0"/>
        <v>-180.48000000000002</v>
      </c>
      <c r="I46" s="709">
        <f>SUM(I5:I45)</f>
        <v>-184.07999999999998</v>
      </c>
      <c r="J46" s="709">
        <f>SUM(J5:J45)</f>
        <v>-87</v>
      </c>
      <c r="K46" s="709">
        <f>SUM(K5:K45)</f>
        <v>-45</v>
      </c>
      <c r="L46" s="1077">
        <f>SUM(L6:L45)</f>
        <v>-70.52000000000001</v>
      </c>
      <c r="M46" s="1077">
        <f>SUM(M6:M45)</f>
        <v>-112</v>
      </c>
      <c r="N46" s="1077">
        <f>SUM(N6:N45)</f>
        <v>-134.78000000000003</v>
      </c>
      <c r="O46" s="971">
        <f>SUM(O6:O45)</f>
        <v>-130</v>
      </c>
    </row>
    <row r="47" spans="2:20" ht="16" thickTop="1" x14ac:dyDescent="0.2"/>
  </sheetData>
  <mergeCells count="10">
    <mergeCell ref="B1:O1"/>
    <mergeCell ref="G10:G11"/>
    <mergeCell ref="F4:G4"/>
    <mergeCell ref="B2:O2"/>
    <mergeCell ref="H10:H11"/>
    <mergeCell ref="I10:I11"/>
    <mergeCell ref="J6:J45"/>
    <mergeCell ref="C5:K5"/>
    <mergeCell ref="L6:L23"/>
    <mergeCell ref="L4:N4"/>
  </mergeCells>
  <phoneticPr fontId="52" type="noConversion"/>
  <conditionalFormatting sqref="A1:B1">
    <cfRule type="cellIs" dxfId="18" priority="1" operator="equal">
      <formula>0</formula>
    </cfRule>
  </conditionalFormatting>
  <hyperlinks>
    <hyperlink ref="B1" location="Summary!A1" display="Summary!A1" xr:uid="{EC5BFF7C-8C63-4B6C-9EEA-AB4EA1794D91}"/>
    <hyperlink ref="O46" location="Summary!T54" display="Summary!T54" xr:uid="{666B4BFA-A0EA-473C-89D4-7A6EC3490792}"/>
  </hyperlinks>
  <printOptions horizontalCentered="1"/>
  <pageMargins left="0.70866141732283472" right="0"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tabColor rgb="FF00FF00"/>
    <pageSetUpPr fitToPage="1"/>
  </sheetPr>
  <dimension ref="B1:S27"/>
  <sheetViews>
    <sheetView zoomScaleNormal="100" zoomScaleSheetLayoutView="100" workbookViewId="0">
      <pane xSplit="2" ySplit="4" topLeftCell="C17" activePane="bottomRight" state="frozen"/>
      <selection activeCell="R7" sqref="R7"/>
      <selection pane="topRight" activeCell="R7" sqref="R7"/>
      <selection pane="bottomLeft" activeCell="R7" sqref="R7"/>
      <selection pane="bottomRight" activeCell="R7" sqref="R7"/>
    </sheetView>
  </sheetViews>
  <sheetFormatPr baseColWidth="10" defaultColWidth="11.5" defaultRowHeight="15" x14ac:dyDescent="0.2"/>
  <cols>
    <col min="1" max="1" width="5.5" style="2" customWidth="1"/>
    <col min="2" max="2" width="21.83203125" style="2" customWidth="1"/>
    <col min="3" max="6" width="6.33203125" style="2" hidden="1" customWidth="1"/>
    <col min="7" max="10" width="8" style="2" hidden="1" customWidth="1"/>
    <col min="11" max="12" width="8" style="2" bestFit="1" customWidth="1"/>
    <col min="13" max="13" width="8" style="2" customWidth="1"/>
    <col min="14" max="14" width="8" style="2" bestFit="1" customWidth="1"/>
    <col min="15" max="15" width="8" style="2" customWidth="1"/>
    <col min="16" max="16" width="10.5" style="2" bestFit="1" customWidth="1"/>
    <col min="17" max="17" width="13.1640625" style="2" bestFit="1" customWidth="1"/>
    <col min="18" max="18" width="13.6640625" style="2" bestFit="1" customWidth="1"/>
    <col min="19" max="19" width="7.6640625" style="2" bestFit="1" customWidth="1"/>
    <col min="20" max="16384" width="11.5" style="2"/>
  </cols>
  <sheetData>
    <row r="1" spans="2:15" s="1683" customFormat="1" ht="24" x14ac:dyDescent="0.2">
      <c r="B1" s="2289" t="s">
        <v>725</v>
      </c>
      <c r="C1" s="2289"/>
      <c r="D1" s="2289"/>
      <c r="E1" s="2289"/>
      <c r="F1" s="2289"/>
      <c r="G1" s="2289"/>
      <c r="H1" s="2289"/>
      <c r="I1" s="2289"/>
      <c r="J1" s="2289"/>
      <c r="K1" s="2289"/>
      <c r="L1" s="2289"/>
      <c r="M1" s="2289"/>
      <c r="N1" s="2289"/>
      <c r="O1" s="1658"/>
    </row>
    <row r="2" spans="2:15" ht="16" x14ac:dyDescent="0.2">
      <c r="B2" s="2413" t="s">
        <v>44</v>
      </c>
      <c r="C2" s="2413"/>
      <c r="D2" s="2413"/>
      <c r="E2" s="2413"/>
      <c r="F2" s="2413"/>
      <c r="G2" s="2413"/>
      <c r="H2" s="2413"/>
      <c r="I2" s="2413"/>
      <c r="J2" s="2413"/>
      <c r="K2" s="2413"/>
      <c r="L2" s="2413"/>
      <c r="M2" s="2413"/>
      <c r="N2" s="2413"/>
      <c r="O2" s="2100"/>
    </row>
    <row r="3" spans="2:15" ht="16" x14ac:dyDescent="0.2">
      <c r="B3" s="73"/>
      <c r="C3" s="350">
        <v>2014</v>
      </c>
      <c r="D3" s="350">
        <v>2015</v>
      </c>
      <c r="E3" s="350">
        <v>2016</v>
      </c>
      <c r="F3" s="350">
        <v>2017</v>
      </c>
      <c r="G3" s="357">
        <v>2018</v>
      </c>
      <c r="H3" s="357">
        <v>2019</v>
      </c>
      <c r="I3" s="357">
        <v>2020</v>
      </c>
      <c r="J3" s="357">
        <v>2021</v>
      </c>
      <c r="K3" s="2323" t="s">
        <v>481</v>
      </c>
      <c r="L3" s="2323"/>
      <c r="M3" s="2323"/>
      <c r="N3" s="1473" t="s">
        <v>519</v>
      </c>
      <c r="O3" s="2100"/>
    </row>
    <row r="4" spans="2:15" ht="14.5" customHeight="1" x14ac:dyDescent="0.2">
      <c r="B4" s="73"/>
      <c r="C4" s="2590" t="s">
        <v>481</v>
      </c>
      <c r="D4" s="2590"/>
      <c r="E4" s="2590"/>
      <c r="F4" s="2590"/>
      <c r="G4" s="2590"/>
      <c r="H4" s="2590"/>
      <c r="I4" s="2590"/>
      <c r="J4" s="2590"/>
      <c r="K4" s="357">
        <v>2022</v>
      </c>
      <c r="L4" s="826">
        <v>2023</v>
      </c>
      <c r="M4" s="826">
        <v>2024</v>
      </c>
      <c r="N4" s="357">
        <v>2025</v>
      </c>
      <c r="O4" s="2100"/>
    </row>
    <row r="5" spans="2:15" ht="15.5" hidden="1" customHeight="1" x14ac:dyDescent="0.2">
      <c r="B5" s="330" t="s">
        <v>529</v>
      </c>
      <c r="C5" s="916">
        <v>-5.99</v>
      </c>
      <c r="D5" s="911"/>
      <c r="E5" s="911"/>
      <c r="F5" s="952">
        <v>-5.99</v>
      </c>
      <c r="G5" s="952">
        <v>-43.96</v>
      </c>
      <c r="H5" s="953"/>
      <c r="I5" s="953"/>
      <c r="J5" s="953"/>
      <c r="K5" s="953"/>
      <c r="L5" s="952"/>
      <c r="M5" s="1306"/>
      <c r="N5" s="953"/>
      <c r="O5" s="2100"/>
    </row>
    <row r="6" spans="2:15" ht="15.5" hidden="1" customHeight="1" x14ac:dyDescent="0.2">
      <c r="B6" s="73" t="s">
        <v>346</v>
      </c>
      <c r="C6" s="916"/>
      <c r="D6" s="911"/>
      <c r="E6" s="911">
        <v>-1.79</v>
      </c>
      <c r="F6" s="735"/>
      <c r="G6" s="952"/>
      <c r="H6" s="953"/>
      <c r="I6" s="953"/>
      <c r="J6" s="953"/>
      <c r="K6" s="953"/>
      <c r="L6" s="952"/>
      <c r="M6" s="1306"/>
      <c r="N6" s="953"/>
      <c r="O6" s="2100"/>
    </row>
    <row r="7" spans="2:15" ht="15.5" hidden="1" customHeight="1" x14ac:dyDescent="0.2">
      <c r="B7" s="73" t="s">
        <v>345</v>
      </c>
      <c r="C7" s="916"/>
      <c r="D7" s="935">
        <v>-2.0699999999999998</v>
      </c>
      <c r="E7" s="911"/>
      <c r="F7" s="735"/>
      <c r="G7" s="952"/>
      <c r="H7" s="953"/>
      <c r="I7" s="953"/>
      <c r="J7" s="953"/>
      <c r="K7" s="953"/>
      <c r="L7" s="952"/>
      <c r="M7" s="1306"/>
      <c r="N7" s="953"/>
      <c r="O7" s="2100"/>
    </row>
    <row r="8" spans="2:15" ht="15.5" hidden="1" customHeight="1" x14ac:dyDescent="0.2">
      <c r="B8" s="331" t="s">
        <v>528</v>
      </c>
      <c r="C8" s="911"/>
      <c r="D8" s="911"/>
      <c r="E8" s="911"/>
      <c r="F8" s="954">
        <v>-13</v>
      </c>
      <c r="G8" s="952"/>
      <c r="H8" s="953"/>
      <c r="I8" s="953"/>
      <c r="J8" s="953">
        <v>-28</v>
      </c>
      <c r="K8" s="953"/>
      <c r="L8" s="952"/>
      <c r="M8" s="1306"/>
      <c r="N8" s="953"/>
      <c r="O8" s="2100"/>
    </row>
    <row r="9" spans="2:15" ht="15.5" hidden="1" customHeight="1" x14ac:dyDescent="0.2">
      <c r="B9" s="330" t="s">
        <v>304</v>
      </c>
      <c r="C9" s="911"/>
      <c r="D9" s="911"/>
      <c r="E9" s="911"/>
      <c r="F9" s="952"/>
      <c r="G9" s="952"/>
      <c r="H9" s="953"/>
      <c r="I9" s="953"/>
      <c r="J9" s="953"/>
      <c r="K9" s="953"/>
      <c r="L9" s="952"/>
      <c r="M9" s="1306"/>
      <c r="N9" s="953"/>
      <c r="O9" s="2100"/>
    </row>
    <row r="10" spans="2:15" ht="15.5" hidden="1" customHeight="1" x14ac:dyDescent="0.2">
      <c r="B10" s="73" t="s">
        <v>343</v>
      </c>
      <c r="C10" s="916">
        <v>-42</v>
      </c>
      <c r="D10" s="911">
        <v>-63.6</v>
      </c>
      <c r="E10" s="911">
        <v>-41.53</v>
      </c>
      <c r="F10" s="952">
        <v>-66</v>
      </c>
      <c r="G10" s="952">
        <v>-6.96</v>
      </c>
      <c r="H10" s="953">
        <v>-13.92</v>
      </c>
      <c r="I10" s="953"/>
      <c r="J10" s="953"/>
      <c r="K10" s="953"/>
      <c r="L10" s="952"/>
      <c r="M10" s="1306"/>
      <c r="N10" s="953"/>
      <c r="O10" s="2100"/>
    </row>
    <row r="11" spans="2:15" ht="15.5" hidden="1" customHeight="1" x14ac:dyDescent="0.2">
      <c r="B11" s="331" t="s">
        <v>526</v>
      </c>
      <c r="C11" s="911"/>
      <c r="D11" s="911"/>
      <c r="E11" s="911"/>
      <c r="F11" s="954">
        <v>-54</v>
      </c>
      <c r="G11" s="952"/>
      <c r="H11" s="953">
        <v>-16</v>
      </c>
      <c r="I11" s="953"/>
      <c r="J11" s="953">
        <v>-13</v>
      </c>
      <c r="K11" s="953"/>
      <c r="L11" s="952"/>
      <c r="M11" s="1306"/>
      <c r="N11" s="953"/>
      <c r="O11" s="2100"/>
    </row>
    <row r="12" spans="2:15" ht="15.5" hidden="1" customHeight="1" x14ac:dyDescent="0.2">
      <c r="B12" s="73" t="s">
        <v>838</v>
      </c>
      <c r="C12" s="916">
        <v>-12</v>
      </c>
      <c r="D12" s="911">
        <v>-14</v>
      </c>
      <c r="E12" s="911">
        <v>-19</v>
      </c>
      <c r="F12" s="935"/>
      <c r="G12" s="952">
        <f>-81.32-18.5</f>
        <v>-99.82</v>
      </c>
      <c r="H12" s="953">
        <v>-23.32</v>
      </c>
      <c r="I12" s="953"/>
      <c r="J12" s="953"/>
      <c r="K12" s="953"/>
      <c r="L12" s="952"/>
      <c r="M12" s="1306"/>
      <c r="N12" s="953"/>
      <c r="O12" s="2100"/>
    </row>
    <row r="13" spans="2:15" ht="15.5" hidden="1" customHeight="1" x14ac:dyDescent="0.2">
      <c r="B13" s="73" t="s">
        <v>342</v>
      </c>
      <c r="C13" s="916">
        <v>-42</v>
      </c>
      <c r="D13" s="911"/>
      <c r="E13" s="911"/>
      <c r="F13" s="954"/>
      <c r="G13" s="952"/>
      <c r="H13" s="953"/>
      <c r="I13" s="953"/>
      <c r="J13" s="953"/>
      <c r="K13" s="953"/>
      <c r="L13" s="952"/>
      <c r="M13" s="1306"/>
      <c r="N13" s="953"/>
      <c r="O13" s="2100"/>
    </row>
    <row r="14" spans="2:15" ht="15.5" hidden="1" customHeight="1" x14ac:dyDescent="0.2">
      <c r="B14" s="73" t="s">
        <v>344</v>
      </c>
      <c r="C14" s="916">
        <v>-4</v>
      </c>
      <c r="D14" s="911">
        <v>-10</v>
      </c>
      <c r="E14" s="911">
        <v>-10</v>
      </c>
      <c r="F14" s="952">
        <v>-4</v>
      </c>
      <c r="G14" s="952">
        <v>-5</v>
      </c>
      <c r="H14" s="953"/>
      <c r="I14" s="953">
        <v>-7</v>
      </c>
      <c r="J14" s="953"/>
      <c r="K14" s="953"/>
      <c r="L14" s="952"/>
      <c r="M14" s="1306"/>
      <c r="N14" s="953"/>
      <c r="O14" s="2100"/>
    </row>
    <row r="15" spans="2:15" ht="15.5" hidden="1" customHeight="1" x14ac:dyDescent="0.2">
      <c r="B15" s="330" t="s">
        <v>527</v>
      </c>
      <c r="C15" s="911"/>
      <c r="D15" s="911"/>
      <c r="E15" s="911"/>
      <c r="F15" s="952">
        <v>-14</v>
      </c>
      <c r="G15" s="952">
        <v>-19.850000000000001</v>
      </c>
      <c r="H15" s="953">
        <v>-17.97</v>
      </c>
      <c r="I15" s="953"/>
      <c r="J15" s="953"/>
      <c r="K15" s="953"/>
      <c r="L15" s="952"/>
      <c r="M15" s="1306"/>
      <c r="N15" s="953"/>
      <c r="O15" s="2100"/>
    </row>
    <row r="16" spans="2:15" ht="15.5" hidden="1" customHeight="1" x14ac:dyDescent="0.2">
      <c r="B16" s="73" t="s">
        <v>347</v>
      </c>
      <c r="C16" s="916">
        <v>-16.48</v>
      </c>
      <c r="D16" s="911">
        <v>-9.98</v>
      </c>
      <c r="E16" s="911">
        <v>-29.36</v>
      </c>
      <c r="F16" s="935"/>
      <c r="G16" s="952"/>
      <c r="H16" s="953"/>
      <c r="I16" s="953"/>
      <c r="J16" s="953"/>
      <c r="K16" s="953"/>
      <c r="L16" s="952"/>
      <c r="M16" s="1306"/>
      <c r="N16" s="953"/>
      <c r="O16" s="2100"/>
    </row>
    <row r="17" spans="2:19" ht="16" x14ac:dyDescent="0.2">
      <c r="B17" s="330" t="s">
        <v>1046</v>
      </c>
      <c r="C17" s="911"/>
      <c r="D17" s="911"/>
      <c r="E17" s="911"/>
      <c r="F17" s="952"/>
      <c r="G17" s="952"/>
      <c r="H17" s="953"/>
      <c r="I17" s="953"/>
      <c r="J17" s="953"/>
      <c r="K17" s="953">
        <v>-10.79</v>
      </c>
      <c r="L17" s="952"/>
      <c r="M17" s="1306"/>
      <c r="N17" s="953"/>
      <c r="O17" s="2100"/>
    </row>
    <row r="18" spans="2:19" ht="16" x14ac:dyDescent="0.2">
      <c r="B18" s="330" t="s">
        <v>1047</v>
      </c>
      <c r="C18" s="911"/>
      <c r="D18" s="911"/>
      <c r="E18" s="911"/>
      <c r="F18" s="952"/>
      <c r="G18" s="952"/>
      <c r="H18" s="953"/>
      <c r="I18" s="953"/>
      <c r="J18" s="953"/>
      <c r="K18" s="953">
        <v>-8.5</v>
      </c>
      <c r="L18" s="952"/>
      <c r="M18" s="1306"/>
      <c r="N18" s="953"/>
      <c r="O18" s="2100"/>
    </row>
    <row r="19" spans="2:19" ht="16" x14ac:dyDescent="0.2">
      <c r="B19" s="330" t="s">
        <v>1072</v>
      </c>
      <c r="C19" s="911"/>
      <c r="D19" s="911"/>
      <c r="E19" s="911"/>
      <c r="F19" s="952"/>
      <c r="G19" s="952"/>
      <c r="H19" s="953"/>
      <c r="I19" s="953"/>
      <c r="J19" s="953"/>
      <c r="K19" s="953">
        <v>35.64</v>
      </c>
      <c r="L19" s="952"/>
      <c r="M19" s="1306"/>
      <c r="N19" s="953"/>
      <c r="O19" s="2100"/>
      <c r="P19" s="1218">
        <v>45338</v>
      </c>
      <c r="Q19" s="330" t="s">
        <v>104</v>
      </c>
      <c r="R19" s="330" t="s">
        <v>1358</v>
      </c>
      <c r="S19" s="1300">
        <v>-18.43</v>
      </c>
    </row>
    <row r="20" spans="2:19" ht="16" x14ac:dyDescent="0.2">
      <c r="B20" s="330" t="s">
        <v>1358</v>
      </c>
      <c r="C20" s="911"/>
      <c r="D20" s="911"/>
      <c r="E20" s="911"/>
      <c r="F20" s="952"/>
      <c r="G20" s="952"/>
      <c r="H20" s="953"/>
      <c r="I20" s="953"/>
      <c r="J20" s="953"/>
      <c r="K20" s="953"/>
      <c r="L20" s="952"/>
      <c r="M20" s="1300">
        <v>-18.43</v>
      </c>
      <c r="N20" s="953"/>
      <c r="O20" s="2100"/>
      <c r="P20" s="1217">
        <v>45433</v>
      </c>
      <c r="Q20" s="331" t="s">
        <v>117</v>
      </c>
      <c r="R20" s="331" t="s">
        <v>1359</v>
      </c>
      <c r="S20" s="1300">
        <v>-4.5</v>
      </c>
    </row>
    <row r="21" spans="2:19" ht="16" x14ac:dyDescent="0.2">
      <c r="B21" s="331" t="s">
        <v>1359</v>
      </c>
      <c r="C21" s="911"/>
      <c r="D21" s="911"/>
      <c r="E21" s="911"/>
      <c r="F21" s="952"/>
      <c r="G21" s="952"/>
      <c r="H21" s="953"/>
      <c r="I21" s="953"/>
      <c r="J21" s="953"/>
      <c r="K21" s="953"/>
      <c r="L21" s="952"/>
      <c r="M21" s="1300">
        <v>-4.5</v>
      </c>
      <c r="N21" s="953"/>
      <c r="O21" s="2100"/>
      <c r="P21" s="12"/>
      <c r="Q21" s="12"/>
      <c r="R21" s="12"/>
      <c r="S21" s="1300">
        <f>SUM(S19:S20)</f>
        <v>-22.93</v>
      </c>
    </row>
    <row r="22" spans="2:19" ht="16" x14ac:dyDescent="0.2">
      <c r="B22" s="330"/>
      <c r="C22" s="911"/>
      <c r="D22" s="911"/>
      <c r="E22" s="911"/>
      <c r="F22" s="952"/>
      <c r="G22" s="952"/>
      <c r="H22" s="953"/>
      <c r="I22" s="953"/>
      <c r="J22" s="953"/>
      <c r="K22" s="953"/>
      <c r="L22" s="952"/>
      <c r="M22" s="1306"/>
      <c r="N22" s="953"/>
      <c r="O22" s="2100"/>
    </row>
    <row r="23" spans="2:19" ht="16" x14ac:dyDescent="0.2">
      <c r="B23" s="330"/>
      <c r="C23" s="911"/>
      <c r="D23" s="911"/>
      <c r="E23" s="911"/>
      <c r="F23" s="952"/>
      <c r="G23" s="952"/>
      <c r="H23" s="953"/>
      <c r="I23" s="953"/>
      <c r="J23" s="953"/>
      <c r="K23" s="953"/>
      <c r="L23" s="952"/>
      <c r="M23" s="1306"/>
      <c r="N23" s="953"/>
      <c r="O23" s="2100"/>
    </row>
    <row r="24" spans="2:19" ht="16" x14ac:dyDescent="0.2">
      <c r="B24" s="330"/>
      <c r="C24" s="911"/>
      <c r="D24" s="911"/>
      <c r="E24" s="911"/>
      <c r="F24" s="952"/>
      <c r="G24" s="952"/>
      <c r="H24" s="953"/>
      <c r="I24" s="953"/>
      <c r="J24" s="953"/>
      <c r="K24" s="953"/>
      <c r="L24" s="952"/>
      <c r="M24" s="1306"/>
      <c r="N24" s="953"/>
      <c r="O24" s="2100"/>
    </row>
    <row r="25" spans="2:19" ht="16" x14ac:dyDescent="0.2">
      <c r="B25" s="73"/>
      <c r="C25" s="916"/>
      <c r="D25" s="911"/>
      <c r="E25" s="911"/>
      <c r="F25" s="935"/>
      <c r="G25" s="952"/>
      <c r="H25" s="953"/>
      <c r="I25" s="953"/>
      <c r="J25" s="953"/>
      <c r="K25" s="953"/>
      <c r="L25" s="952">
        <v>-40</v>
      </c>
      <c r="M25" s="1306"/>
      <c r="N25" s="1307">
        <v>-25</v>
      </c>
      <c r="O25" s="2100"/>
    </row>
    <row r="26" spans="2:19" ht="16" thickBot="1" x14ac:dyDescent="0.25">
      <c r="B26" s="24"/>
      <c r="C26" s="915">
        <f t="shared" ref="C26:I26" si="0">SUM(C5:C25)</f>
        <v>-122.47000000000001</v>
      </c>
      <c r="D26" s="915">
        <f t="shared" si="0"/>
        <v>-99.65</v>
      </c>
      <c r="E26" s="915">
        <f t="shared" si="0"/>
        <v>-101.67999999999999</v>
      </c>
      <c r="F26" s="915">
        <f t="shared" si="0"/>
        <v>-156.99</v>
      </c>
      <c r="G26" s="915">
        <f t="shared" si="0"/>
        <v>-175.59</v>
      </c>
      <c r="H26" s="915">
        <f t="shared" si="0"/>
        <v>-71.210000000000008</v>
      </c>
      <c r="I26" s="915">
        <f t="shared" si="0"/>
        <v>-7</v>
      </c>
      <c r="J26" s="915">
        <f t="shared" ref="J26:M26" si="1">SUM(J5:J25)</f>
        <v>-41</v>
      </c>
      <c r="K26" s="915">
        <f t="shared" si="1"/>
        <v>16.350000000000001</v>
      </c>
      <c r="L26" s="915">
        <f t="shared" si="1"/>
        <v>-40</v>
      </c>
      <c r="M26" s="1074">
        <f t="shared" si="1"/>
        <v>-22.93</v>
      </c>
      <c r="N26" s="964">
        <f>SUM(N5:N25)</f>
        <v>-25</v>
      </c>
      <c r="O26" s="2101"/>
    </row>
    <row r="27" spans="2:19" ht="16" thickTop="1" x14ac:dyDescent="0.2"/>
  </sheetData>
  <mergeCells count="4">
    <mergeCell ref="B1:N1"/>
    <mergeCell ref="B2:N2"/>
    <mergeCell ref="C4:J4"/>
    <mergeCell ref="K3:M3"/>
  </mergeCells>
  <conditionalFormatting sqref="B1">
    <cfRule type="cellIs" dxfId="17" priority="2" operator="equal">
      <formula>0</formula>
    </cfRule>
  </conditionalFormatting>
  <hyperlinks>
    <hyperlink ref="B1" location="Summary!A1" display="Summary!A1" xr:uid="{9A66D8BC-A19E-4D25-B80B-4E8A1BCA1805}"/>
    <hyperlink ref="N26" location="Summary!T55" display="Summary!T55" xr:uid="{A727C43E-3ACC-4160-9A65-DB4F0CB3B77B}"/>
  </hyperlinks>
  <printOptions horizontalCentered="1"/>
  <pageMargins left="0.70866141732283472" right="0"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tabColor rgb="FF00FF00"/>
    <pageSetUpPr fitToPage="1"/>
  </sheetPr>
  <dimension ref="A1:T19"/>
  <sheetViews>
    <sheetView zoomScaleNormal="100" zoomScaleSheetLayoutView="100" workbookViewId="0">
      <pane xSplit="3" ySplit="5" topLeftCell="O6" activePane="bottomRight" state="frozen"/>
      <selection activeCell="R7" sqref="R7"/>
      <selection pane="topRight" activeCell="R7" sqref="R7"/>
      <selection pane="bottomLeft" activeCell="R7" sqref="R7"/>
      <selection pane="bottomRight" activeCell="R7" sqref="R7"/>
    </sheetView>
  </sheetViews>
  <sheetFormatPr baseColWidth="10" defaultColWidth="8.83203125" defaultRowHeight="15" x14ac:dyDescent="0.2"/>
  <cols>
    <col min="1" max="1" width="5.1640625" style="2" customWidth="1"/>
    <col min="2" max="2" width="14.5" style="2" bestFit="1" customWidth="1"/>
    <col min="3" max="3" width="28.5" style="2" bestFit="1" customWidth="1"/>
    <col min="4" max="10" width="7.5" style="2" hidden="1" customWidth="1"/>
    <col min="11" max="14" width="7.5" style="2" customWidth="1"/>
    <col min="15" max="15" width="7.83203125" style="2" bestFit="1" customWidth="1"/>
    <col min="16" max="16" width="11.5" style="2" bestFit="1" customWidth="1"/>
    <col min="17" max="17" width="10.5" style="2" bestFit="1" customWidth="1"/>
    <col min="18" max="18" width="6.5" style="2" bestFit="1" customWidth="1"/>
    <col min="19" max="19" width="27.83203125" style="2" bestFit="1" customWidth="1"/>
    <col min="20" max="20" width="8.6640625" style="2" bestFit="1" customWidth="1"/>
    <col min="21" max="16384" width="8.83203125" style="2"/>
  </cols>
  <sheetData>
    <row r="1" spans="1:20" s="1683" customFormat="1" ht="24" x14ac:dyDescent="0.2">
      <c r="A1" s="1912"/>
      <c r="B1" s="2289" t="s">
        <v>725</v>
      </c>
      <c r="C1" s="2289"/>
      <c r="D1" s="2289"/>
      <c r="E1" s="2289"/>
      <c r="F1" s="2289"/>
      <c r="G1" s="2289"/>
      <c r="H1" s="2289"/>
      <c r="I1" s="2289"/>
      <c r="J1" s="2289"/>
      <c r="K1" s="2289"/>
      <c r="L1" s="2289"/>
      <c r="M1" s="2289"/>
      <c r="N1" s="2289"/>
      <c r="O1" s="2289"/>
    </row>
    <row r="2" spans="1:20" x14ac:dyDescent="0.2">
      <c r="B2" s="2364" t="s">
        <v>45</v>
      </c>
      <c r="C2" s="2364"/>
      <c r="D2" s="2364"/>
      <c r="E2" s="2364"/>
      <c r="F2" s="2364"/>
      <c r="G2" s="2364"/>
      <c r="H2" s="2364"/>
      <c r="I2" s="2364"/>
      <c r="J2" s="2364"/>
      <c r="K2" s="2364"/>
      <c r="L2" s="2364"/>
      <c r="M2" s="2364"/>
      <c r="N2" s="2364"/>
      <c r="O2" s="2364"/>
      <c r="P2" s="1684"/>
    </row>
    <row r="3" spans="1:20" x14ac:dyDescent="0.2">
      <c r="B3" s="1"/>
      <c r="C3" s="1"/>
      <c r="D3" s="1"/>
      <c r="E3" s="1"/>
      <c r="F3" s="1"/>
      <c r="G3" s="1"/>
      <c r="H3" s="1"/>
      <c r="I3" s="1"/>
      <c r="J3" s="1"/>
      <c r="K3" s="1"/>
      <c r="L3" s="1"/>
      <c r="O3" s="1"/>
    </row>
    <row r="4" spans="1:20" x14ac:dyDescent="0.2">
      <c r="B4" s="73"/>
      <c r="C4" s="73"/>
      <c r="D4" s="1308" t="s">
        <v>481</v>
      </c>
      <c r="E4" s="1308" t="s">
        <v>481</v>
      </c>
      <c r="F4" s="1308" t="s">
        <v>481</v>
      </c>
      <c r="G4" s="1308" t="s">
        <v>481</v>
      </c>
      <c r="H4" s="1308" t="s">
        <v>481</v>
      </c>
      <c r="I4" s="1308" t="s">
        <v>481</v>
      </c>
      <c r="J4" s="1308" t="s">
        <v>481</v>
      </c>
      <c r="K4" s="2294" t="s">
        <v>481</v>
      </c>
      <c r="L4" s="2295"/>
      <c r="M4" s="2295"/>
      <c r="N4" s="2296"/>
      <c r="O4" s="1473" t="s">
        <v>519</v>
      </c>
      <c r="P4" s="1684"/>
    </row>
    <row r="5" spans="1:20" x14ac:dyDescent="0.2">
      <c r="B5" s="73"/>
      <c r="C5" s="73"/>
      <c r="D5" s="8">
        <v>2014</v>
      </c>
      <c r="E5" s="8">
        <v>2015</v>
      </c>
      <c r="F5" s="8">
        <v>2016</v>
      </c>
      <c r="G5" s="8">
        <v>2017</v>
      </c>
      <c r="H5" s="8">
        <v>2018</v>
      </c>
      <c r="I5" s="8">
        <v>2019</v>
      </c>
      <c r="J5" s="8">
        <v>2020</v>
      </c>
      <c r="K5" s="8">
        <v>2021</v>
      </c>
      <c r="L5" s="8">
        <v>2022</v>
      </c>
      <c r="M5" s="411">
        <v>2023</v>
      </c>
      <c r="N5" s="411">
        <v>2024</v>
      </c>
      <c r="O5" s="8">
        <v>2025</v>
      </c>
      <c r="P5" s="2102"/>
    </row>
    <row r="6" spans="1:20" x14ac:dyDescent="0.2">
      <c r="B6" s="73" t="s">
        <v>348</v>
      </c>
      <c r="C6" s="73" t="s">
        <v>350</v>
      </c>
      <c r="D6" s="911">
        <v>-35.85</v>
      </c>
      <c r="E6" s="911">
        <v>-35.85</v>
      </c>
      <c r="F6" s="911">
        <v>-35.85</v>
      </c>
      <c r="G6" s="911">
        <v>-35.85</v>
      </c>
      <c r="H6" s="911">
        <v>-71.86</v>
      </c>
      <c r="I6" s="911">
        <v>-71.86</v>
      </c>
      <c r="J6" s="911">
        <v>-107</v>
      </c>
      <c r="K6" s="911">
        <v>-115</v>
      </c>
      <c r="L6" s="911">
        <v>-115.2</v>
      </c>
      <c r="M6" s="2592">
        <v>-134</v>
      </c>
      <c r="N6" s="935">
        <v>-158.4</v>
      </c>
      <c r="O6" s="935"/>
      <c r="P6" s="2591"/>
    </row>
    <row r="7" spans="1:20" x14ac:dyDescent="0.2">
      <c r="B7" s="73" t="s">
        <v>349</v>
      </c>
      <c r="C7" s="73"/>
      <c r="D7" s="916">
        <v>-11.99</v>
      </c>
      <c r="E7" s="916">
        <v>-11.99</v>
      </c>
      <c r="F7" s="916">
        <v>-11.99</v>
      </c>
      <c r="G7" s="916">
        <v>-11.99</v>
      </c>
      <c r="H7" s="916">
        <v>-19.32</v>
      </c>
      <c r="I7" s="916">
        <v>-19.32</v>
      </c>
      <c r="J7" s="911">
        <v>-19</v>
      </c>
      <c r="K7" s="911">
        <v>-19</v>
      </c>
      <c r="L7" s="911">
        <v>-19.32</v>
      </c>
      <c r="M7" s="2593"/>
      <c r="N7" s="935">
        <v>-19.32</v>
      </c>
      <c r="O7" s="935"/>
      <c r="P7" s="2591"/>
    </row>
    <row r="8" spans="1:20" x14ac:dyDescent="0.2">
      <c r="B8" s="12" t="s">
        <v>891</v>
      </c>
      <c r="C8" s="12" t="s">
        <v>991</v>
      </c>
      <c r="D8" s="1073"/>
      <c r="E8" s="935"/>
      <c r="F8" s="935"/>
      <c r="G8" s="935"/>
      <c r="H8" s="935"/>
      <c r="I8" s="935"/>
      <c r="J8" s="935"/>
      <c r="K8" s="935">
        <v>-144</v>
      </c>
      <c r="L8" s="1293"/>
      <c r="M8" s="935"/>
      <c r="N8" s="935"/>
      <c r="O8" s="935"/>
      <c r="P8" s="43"/>
    </row>
    <row r="9" spans="1:20" x14ac:dyDescent="0.2">
      <c r="B9" s="73"/>
      <c r="C9" s="73"/>
      <c r="D9" s="916"/>
      <c r="E9" s="916"/>
      <c r="F9" s="916"/>
      <c r="G9" s="916"/>
      <c r="H9" s="916"/>
      <c r="I9" s="916"/>
      <c r="J9" s="911"/>
      <c r="K9" s="911"/>
      <c r="L9" s="911"/>
      <c r="M9" s="935"/>
      <c r="N9" s="935"/>
      <c r="O9" s="935"/>
      <c r="P9" s="43"/>
      <c r="Q9" s="1218">
        <v>45349</v>
      </c>
      <c r="R9" s="330" t="s">
        <v>1062</v>
      </c>
      <c r="S9" s="330" t="s">
        <v>1360</v>
      </c>
      <c r="T9" s="1300">
        <v>-158.4</v>
      </c>
    </row>
    <row r="10" spans="1:20" x14ac:dyDescent="0.2">
      <c r="B10" s="73"/>
      <c r="C10" s="73"/>
      <c r="D10" s="916"/>
      <c r="E10" s="916"/>
      <c r="F10" s="916"/>
      <c r="G10" s="916"/>
      <c r="H10" s="916"/>
      <c r="I10" s="916"/>
      <c r="J10" s="911"/>
      <c r="K10" s="911"/>
      <c r="L10" s="911"/>
      <c r="M10" s="935"/>
      <c r="N10" s="935"/>
      <c r="O10" s="935"/>
      <c r="P10" s="43"/>
      <c r="Q10" s="1217">
        <v>45414</v>
      </c>
      <c r="R10" s="331" t="s">
        <v>1062</v>
      </c>
      <c r="S10" s="331" t="s">
        <v>1360</v>
      </c>
      <c r="T10" s="1300">
        <v>-19.32</v>
      </c>
    </row>
    <row r="11" spans="1:20" x14ac:dyDescent="0.2">
      <c r="B11" s="73"/>
      <c r="C11" s="73"/>
      <c r="D11" s="916"/>
      <c r="E11" s="916"/>
      <c r="F11" s="916"/>
      <c r="G11" s="916"/>
      <c r="H11" s="916"/>
      <c r="I11" s="916"/>
      <c r="J11" s="911"/>
      <c r="K11" s="911"/>
      <c r="L11" s="911"/>
      <c r="M11" s="935"/>
      <c r="N11" s="935"/>
      <c r="O11" s="935"/>
      <c r="P11" s="43"/>
      <c r="Q11" s="12"/>
      <c r="R11" s="12"/>
      <c r="S11" s="12"/>
      <c r="T11" s="1300">
        <f>SUM(T9:T10)</f>
        <v>-177.72</v>
      </c>
    </row>
    <row r="12" spans="1:20" x14ac:dyDescent="0.2">
      <c r="B12" s="73"/>
      <c r="C12" s="73"/>
      <c r="D12" s="916"/>
      <c r="E12" s="916"/>
      <c r="F12" s="916"/>
      <c r="G12" s="916"/>
      <c r="H12" s="916"/>
      <c r="I12" s="916"/>
      <c r="J12" s="911"/>
      <c r="K12" s="911"/>
      <c r="L12" s="911"/>
      <c r="M12" s="935"/>
      <c r="N12" s="935"/>
      <c r="O12" s="935"/>
    </row>
    <row r="13" spans="1:20" x14ac:dyDescent="0.2">
      <c r="B13" s="73"/>
      <c r="C13" s="73"/>
      <c r="D13" s="916"/>
      <c r="E13" s="916"/>
      <c r="F13" s="916"/>
      <c r="G13" s="916"/>
      <c r="H13" s="916"/>
      <c r="I13" s="916"/>
      <c r="J13" s="911"/>
      <c r="K13" s="911"/>
      <c r="L13" s="911"/>
      <c r="M13" s="935"/>
      <c r="N13" s="935"/>
      <c r="O13" s="935"/>
    </row>
    <row r="14" spans="1:20" x14ac:dyDescent="0.2">
      <c r="B14" s="73"/>
      <c r="C14" s="73"/>
      <c r="D14" s="916"/>
      <c r="E14" s="916"/>
      <c r="F14" s="916"/>
      <c r="G14" s="916"/>
      <c r="H14" s="916"/>
      <c r="I14" s="916"/>
      <c r="J14" s="911"/>
      <c r="K14" s="911"/>
      <c r="L14" s="911"/>
      <c r="M14" s="935"/>
      <c r="N14" s="935"/>
      <c r="O14" s="935"/>
    </row>
    <row r="15" spans="1:20" x14ac:dyDescent="0.2">
      <c r="B15" s="73"/>
      <c r="C15" s="73"/>
      <c r="D15" s="916"/>
      <c r="E15" s="916"/>
      <c r="F15" s="916"/>
      <c r="G15" s="916"/>
      <c r="H15" s="916"/>
      <c r="I15" s="916"/>
      <c r="J15" s="911"/>
      <c r="K15" s="911"/>
      <c r="L15" s="911"/>
      <c r="M15" s="935"/>
      <c r="N15" s="935"/>
      <c r="O15" s="935"/>
    </row>
    <row r="16" spans="1:20" x14ac:dyDescent="0.2">
      <c r="B16" s="12"/>
      <c r="C16" s="12"/>
      <c r="D16" s="935"/>
      <c r="E16" s="935"/>
      <c r="F16" s="935"/>
      <c r="G16" s="935"/>
      <c r="H16" s="935"/>
      <c r="I16" s="935"/>
      <c r="J16" s="935"/>
      <c r="K16" s="935"/>
      <c r="L16" s="955"/>
      <c r="M16" s="935"/>
      <c r="N16" s="935"/>
      <c r="O16" s="935"/>
    </row>
    <row r="17" spans="2:15" x14ac:dyDescent="0.2">
      <c r="B17" s="10"/>
      <c r="C17" s="10"/>
      <c r="D17" s="956"/>
      <c r="E17" s="956"/>
      <c r="F17" s="956"/>
      <c r="G17" s="913"/>
      <c r="H17" s="913"/>
      <c r="I17" s="913"/>
      <c r="J17" s="913"/>
      <c r="K17" s="913"/>
      <c r="L17" s="911"/>
      <c r="M17" s="951"/>
      <c r="N17" s="951"/>
      <c r="O17" s="983">
        <v>-175</v>
      </c>
    </row>
    <row r="18" spans="2:15" ht="16" thickBot="1" x14ac:dyDescent="0.25">
      <c r="B18" s="24"/>
      <c r="C18" s="24"/>
      <c r="D18" s="914">
        <f>SUM(D6:D17)</f>
        <v>-47.84</v>
      </c>
      <c r="E18" s="914">
        <f t="shared" ref="E18:N18" si="0">SUM(E6:E17)</f>
        <v>-47.84</v>
      </c>
      <c r="F18" s="914">
        <f t="shared" si="0"/>
        <v>-47.84</v>
      </c>
      <c r="G18" s="914">
        <f t="shared" si="0"/>
        <v>-47.84</v>
      </c>
      <c r="H18" s="914">
        <f t="shared" si="0"/>
        <v>-91.18</v>
      </c>
      <c r="I18" s="914">
        <f t="shared" si="0"/>
        <v>-91.18</v>
      </c>
      <c r="J18" s="914">
        <f t="shared" si="0"/>
        <v>-126</v>
      </c>
      <c r="K18" s="914">
        <f t="shared" si="0"/>
        <v>-278</v>
      </c>
      <c r="L18" s="914">
        <f t="shared" si="0"/>
        <v>-134.52000000000001</v>
      </c>
      <c r="M18" s="1092">
        <f t="shared" si="0"/>
        <v>-134</v>
      </c>
      <c r="N18" s="1092">
        <f t="shared" si="0"/>
        <v>-177.72</v>
      </c>
      <c r="O18" s="1441">
        <f>SUM(O6:O17)</f>
        <v>-175</v>
      </c>
    </row>
    <row r="19" spans="2:15" ht="16" thickTop="1" x14ac:dyDescent="0.2"/>
  </sheetData>
  <mergeCells count="5">
    <mergeCell ref="P6:P7"/>
    <mergeCell ref="B1:O1"/>
    <mergeCell ref="B2:O2"/>
    <mergeCell ref="K4:N4"/>
    <mergeCell ref="M6:M7"/>
  </mergeCells>
  <conditionalFormatting sqref="A1:B1">
    <cfRule type="cellIs" dxfId="16" priority="2" operator="equal">
      <formula>0</formula>
    </cfRule>
  </conditionalFormatting>
  <hyperlinks>
    <hyperlink ref="B1" location="Summary!A1" display="Summary!A1" xr:uid="{503B2073-B553-410E-BD2A-6A09825D233E}"/>
    <hyperlink ref="O18" location="Summary!T56" display="Summary!T56" xr:uid="{4B1DDB14-AE69-4C33-BE67-7B337CED3B8F}"/>
  </hyperlinks>
  <printOptions horizontalCentered="1"/>
  <pageMargins left="0.70866141732283472" right="0.1181102362204724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1EC10-DCB9-41AB-97C3-46F8B1994B24}">
  <sheetPr codeName="Sheet4"/>
  <dimension ref="A1:J37"/>
  <sheetViews>
    <sheetView view="pageBreakPreview" topLeftCell="A4" zoomScaleNormal="100" zoomScaleSheetLayoutView="100" workbookViewId="0">
      <selection activeCell="N14" sqref="N14"/>
    </sheetView>
  </sheetViews>
  <sheetFormatPr baseColWidth="10" defaultColWidth="8.83203125" defaultRowHeight="15" zeroHeight="1" x14ac:dyDescent="0.2"/>
  <cols>
    <col min="1" max="1" width="35.1640625" customWidth="1"/>
    <col min="2" max="2" width="20.33203125" bestFit="1" customWidth="1"/>
    <col min="3" max="3" width="11.5" bestFit="1" customWidth="1"/>
    <col min="4" max="4" width="9.33203125" bestFit="1" customWidth="1"/>
    <col min="5" max="5" width="11.83203125" bestFit="1" customWidth="1"/>
    <col min="6" max="10" width="6.33203125" bestFit="1" customWidth="1"/>
  </cols>
  <sheetData>
    <row r="1" spans="1:10" ht="24" x14ac:dyDescent="0.2">
      <c r="A1" s="2241" t="s">
        <v>631</v>
      </c>
      <c r="B1" s="2242"/>
      <c r="C1" s="2242"/>
      <c r="D1" s="2242"/>
      <c r="E1" s="2242"/>
    </row>
    <row r="2" spans="1:10" x14ac:dyDescent="0.2">
      <c r="A2" s="336"/>
      <c r="B2" s="2243" t="s">
        <v>656</v>
      </c>
      <c r="C2" s="2243"/>
      <c r="D2" s="2243"/>
      <c r="E2" s="2243"/>
      <c r="F2" s="2243"/>
      <c r="G2" s="2243"/>
      <c r="H2" s="2243"/>
      <c r="I2" s="2243"/>
      <c r="J2" s="2243"/>
    </row>
    <row r="3" spans="1:10" x14ac:dyDescent="0.2">
      <c r="B3" s="345"/>
      <c r="C3" s="345"/>
      <c r="D3" s="345"/>
      <c r="E3" s="345"/>
      <c r="F3" s="345"/>
      <c r="G3" s="345"/>
      <c r="H3" s="345"/>
      <c r="I3" s="345"/>
      <c r="J3" s="345"/>
    </row>
    <row r="4" spans="1:10" x14ac:dyDescent="0.2">
      <c r="B4" s="2244" t="s">
        <v>56</v>
      </c>
      <c r="C4" s="2245"/>
      <c r="D4" s="2245"/>
      <c r="E4" s="2245"/>
      <c r="F4" s="2245"/>
      <c r="G4" s="2245"/>
      <c r="H4" s="2245"/>
      <c r="I4" s="2245"/>
      <c r="J4" s="2245"/>
    </row>
    <row r="5" spans="1:10" ht="48" x14ac:dyDescent="0.2">
      <c r="B5" s="52" t="s">
        <v>353</v>
      </c>
      <c r="C5" s="69" t="s">
        <v>354</v>
      </c>
      <c r="D5" s="101" t="s">
        <v>182</v>
      </c>
      <c r="E5" s="93" t="s">
        <v>653</v>
      </c>
      <c r="F5" s="129">
        <v>2019</v>
      </c>
      <c r="G5" s="129">
        <v>2020</v>
      </c>
      <c r="H5" s="129">
        <v>2021</v>
      </c>
      <c r="I5" s="129">
        <v>2022</v>
      </c>
      <c r="J5" s="129">
        <v>2023</v>
      </c>
    </row>
    <row r="6" spans="1:10" x14ac:dyDescent="0.2">
      <c r="B6" s="73" t="s">
        <v>654</v>
      </c>
      <c r="C6" s="74">
        <v>0.05</v>
      </c>
      <c r="D6" s="85">
        <v>7000</v>
      </c>
      <c r="E6" s="94"/>
      <c r="F6" s="89">
        <v>350</v>
      </c>
      <c r="G6" s="89">
        <v>350</v>
      </c>
      <c r="H6" s="89">
        <v>350</v>
      </c>
      <c r="I6" s="89">
        <v>350</v>
      </c>
      <c r="J6" s="89">
        <v>350</v>
      </c>
    </row>
    <row r="7" spans="1:10" x14ac:dyDescent="0.2">
      <c r="B7" s="73"/>
      <c r="C7" s="74"/>
      <c r="D7" s="85"/>
      <c r="E7" s="94"/>
      <c r="F7" s="89"/>
      <c r="G7" s="3"/>
      <c r="H7" s="3"/>
      <c r="I7" s="3"/>
      <c r="J7" s="3"/>
    </row>
    <row r="8" spans="1:10" x14ac:dyDescent="0.2">
      <c r="B8" s="73"/>
      <c r="C8" s="74"/>
      <c r="D8" s="85"/>
      <c r="E8" s="94"/>
      <c r="F8" s="89"/>
      <c r="G8" s="3"/>
      <c r="H8" s="3"/>
      <c r="I8" s="3"/>
      <c r="J8" s="3"/>
    </row>
    <row r="9" spans="1:10" x14ac:dyDescent="0.2">
      <c r="B9" s="73"/>
      <c r="C9" s="74"/>
      <c r="D9" s="85"/>
      <c r="E9" s="94"/>
      <c r="F9" s="89"/>
      <c r="G9" s="3"/>
      <c r="H9" s="3"/>
      <c r="I9" s="3"/>
      <c r="J9" s="3"/>
    </row>
    <row r="10" spans="1:10" x14ac:dyDescent="0.2">
      <c r="B10" s="10"/>
      <c r="C10" s="75"/>
      <c r="D10" s="86"/>
      <c r="E10" s="94"/>
      <c r="F10" s="90"/>
      <c r="G10" s="4"/>
      <c r="H10" s="4"/>
      <c r="I10" s="4"/>
      <c r="J10" s="4"/>
    </row>
    <row r="11" spans="1:10" x14ac:dyDescent="0.2">
      <c r="B11" s="10"/>
      <c r="C11" s="75"/>
      <c r="D11" s="86"/>
      <c r="E11" s="94"/>
      <c r="F11" s="90"/>
      <c r="G11" s="4"/>
      <c r="H11" s="4"/>
      <c r="I11" s="4"/>
      <c r="J11" s="4"/>
    </row>
    <row r="12" spans="1:10" x14ac:dyDescent="0.2">
      <c r="B12" s="57"/>
      <c r="C12" s="75"/>
      <c r="D12" s="86"/>
      <c r="E12" s="94"/>
      <c r="F12" s="90"/>
      <c r="G12" s="4"/>
      <c r="H12" s="4"/>
      <c r="I12" s="4"/>
      <c r="J12" s="4"/>
    </row>
    <row r="13" spans="1:10" x14ac:dyDescent="0.2">
      <c r="B13" s="9"/>
      <c r="C13" s="75"/>
      <c r="D13" s="86"/>
      <c r="E13" s="94"/>
      <c r="F13" s="90"/>
      <c r="G13" s="4"/>
      <c r="H13" s="4"/>
      <c r="I13" s="4"/>
      <c r="J13" s="4"/>
    </row>
    <row r="14" spans="1:10" ht="16" thickBot="1" x14ac:dyDescent="0.25">
      <c r="B14" s="13"/>
      <c r="C14" s="75"/>
      <c r="D14" s="86"/>
      <c r="E14" s="94"/>
      <c r="F14" s="90"/>
      <c r="G14" s="4"/>
      <c r="H14" s="4"/>
      <c r="I14" s="4"/>
      <c r="J14" s="4"/>
    </row>
    <row r="15" spans="1:10" ht="16" thickBot="1" x14ac:dyDescent="0.25">
      <c r="B15" s="76"/>
      <c r="C15" s="77"/>
      <c r="D15" s="87">
        <f t="shared" ref="D15:J15" si="0">SUM(D6:D14)</f>
        <v>7000</v>
      </c>
      <c r="E15" s="95">
        <f t="shared" si="0"/>
        <v>0</v>
      </c>
      <c r="F15" s="91">
        <f t="shared" si="0"/>
        <v>350</v>
      </c>
      <c r="G15" s="78">
        <f t="shared" si="0"/>
        <v>350</v>
      </c>
      <c r="H15" s="78">
        <f t="shared" si="0"/>
        <v>350</v>
      </c>
      <c r="I15" s="78">
        <f t="shared" si="0"/>
        <v>350</v>
      </c>
      <c r="J15" s="78">
        <f t="shared" si="0"/>
        <v>350</v>
      </c>
    </row>
    <row r="16" spans="1:10" ht="16" thickBot="1" x14ac:dyDescent="0.25">
      <c r="B16" s="2246" t="s">
        <v>359</v>
      </c>
      <c r="C16" s="2247"/>
      <c r="D16" s="88">
        <f t="shared" ref="D16:J16" si="1">SUM(D15:D15)</f>
        <v>7000</v>
      </c>
      <c r="E16" s="88">
        <f t="shared" si="1"/>
        <v>0</v>
      </c>
      <c r="F16" s="92">
        <f t="shared" si="1"/>
        <v>350</v>
      </c>
      <c r="G16" s="5">
        <f t="shared" si="1"/>
        <v>350</v>
      </c>
      <c r="H16" s="5">
        <f t="shared" si="1"/>
        <v>350</v>
      </c>
      <c r="I16" s="5">
        <f t="shared" si="1"/>
        <v>350</v>
      </c>
      <c r="J16" s="5">
        <f t="shared" si="1"/>
        <v>350</v>
      </c>
    </row>
    <row r="17" spans="1:10" ht="16" thickTop="1" x14ac:dyDescent="0.2">
      <c r="B17" s="2248"/>
      <c r="C17" s="2249"/>
      <c r="D17" s="2249"/>
      <c r="E17" s="2249"/>
      <c r="F17" s="2249"/>
      <c r="G17" s="2249"/>
      <c r="H17" s="2249"/>
      <c r="I17" s="2249"/>
      <c r="J17" s="2249"/>
    </row>
    <row r="18" spans="1:10" x14ac:dyDescent="0.2">
      <c r="B18" s="2250" t="s">
        <v>655</v>
      </c>
      <c r="C18" s="2251"/>
      <c r="D18" s="2251"/>
      <c r="E18" s="2251"/>
      <c r="F18" s="2251"/>
      <c r="G18" s="2251"/>
      <c r="H18" s="2251"/>
      <c r="I18" s="2251"/>
      <c r="J18" s="2251"/>
    </row>
    <row r="19" spans="1:10" ht="32" x14ac:dyDescent="0.2">
      <c r="B19" s="2239" t="s">
        <v>353</v>
      </c>
      <c r="C19" s="2240"/>
      <c r="D19" s="101" t="s">
        <v>360</v>
      </c>
      <c r="E19" s="93"/>
      <c r="F19" s="129">
        <v>2019</v>
      </c>
      <c r="G19" s="129">
        <v>2020</v>
      </c>
      <c r="H19" s="129">
        <v>2021</v>
      </c>
      <c r="I19" s="129">
        <v>2022</v>
      </c>
      <c r="J19" s="129">
        <v>2023</v>
      </c>
    </row>
    <row r="20" spans="1:10" x14ac:dyDescent="0.2">
      <c r="B20" s="73" t="s">
        <v>640</v>
      </c>
      <c r="C20" s="45"/>
      <c r="D20" s="85">
        <v>7000</v>
      </c>
      <c r="E20" s="94"/>
      <c r="F20" s="143">
        <f>+D20-F6</f>
        <v>6650</v>
      </c>
      <c r="G20" s="6">
        <f>+F20-G6</f>
        <v>6300</v>
      </c>
      <c r="H20" s="6">
        <f t="shared" ref="H20:J20" si="2">+G20-H6</f>
        <v>5950</v>
      </c>
      <c r="I20" s="6">
        <f t="shared" si="2"/>
        <v>5600</v>
      </c>
      <c r="J20" s="6">
        <f t="shared" si="2"/>
        <v>5250</v>
      </c>
    </row>
    <row r="21" spans="1:10" x14ac:dyDescent="0.2">
      <c r="B21" s="73"/>
      <c r="C21" s="45"/>
      <c r="D21" s="85"/>
      <c r="E21" s="94"/>
      <c r="F21" s="143"/>
      <c r="G21" s="6"/>
      <c r="H21" s="6"/>
      <c r="I21" s="6"/>
      <c r="J21" s="6"/>
    </row>
    <row r="22" spans="1:10" s="14" customFormat="1" x14ac:dyDescent="0.2">
      <c r="A22"/>
      <c r="B22" s="73"/>
      <c r="C22" s="81"/>
      <c r="D22" s="134"/>
      <c r="E22" s="148"/>
      <c r="F22" s="144"/>
      <c r="G22" s="82"/>
      <c r="H22" s="82"/>
      <c r="I22" s="82"/>
      <c r="J22" s="82"/>
    </row>
    <row r="23" spans="1:10" x14ac:dyDescent="0.2">
      <c r="B23" s="73"/>
      <c r="C23" s="45"/>
      <c r="D23" s="85"/>
      <c r="E23" s="94"/>
      <c r="F23" s="143"/>
      <c r="G23" s="6"/>
      <c r="H23" s="6"/>
      <c r="I23" s="6"/>
      <c r="J23" s="6"/>
    </row>
    <row r="24" spans="1:10" x14ac:dyDescent="0.2">
      <c r="B24" s="73"/>
      <c r="C24" s="81"/>
      <c r="D24" s="134"/>
      <c r="E24" s="148"/>
      <c r="F24" s="144"/>
      <c r="G24" s="82"/>
      <c r="H24" s="82"/>
      <c r="I24" s="82"/>
      <c r="J24" s="82"/>
    </row>
    <row r="25" spans="1:10" x14ac:dyDescent="0.2">
      <c r="B25" s="73"/>
      <c r="C25" s="81"/>
      <c r="D25" s="134"/>
      <c r="E25" s="148"/>
      <c r="F25" s="144"/>
      <c r="G25" s="82"/>
      <c r="H25" s="82"/>
      <c r="I25" s="82"/>
      <c r="J25" s="82"/>
    </row>
    <row r="26" spans="1:10" x14ac:dyDescent="0.2">
      <c r="B26" s="73"/>
      <c r="C26" s="81"/>
      <c r="D26" s="134"/>
      <c r="E26" s="148"/>
      <c r="F26" s="144"/>
      <c r="G26" s="82"/>
      <c r="H26" s="82"/>
      <c r="I26" s="82"/>
      <c r="J26" s="82"/>
    </row>
    <row r="27" spans="1:10" x14ac:dyDescent="0.2">
      <c r="B27" s="73"/>
      <c r="C27" s="81"/>
      <c r="D27" s="134"/>
      <c r="E27" s="148"/>
      <c r="F27" s="144"/>
      <c r="G27" s="82"/>
      <c r="H27" s="82"/>
      <c r="I27" s="82"/>
      <c r="J27" s="82"/>
    </row>
    <row r="28" spans="1:10" ht="16" thickBot="1" x14ac:dyDescent="0.25">
      <c r="B28" s="73"/>
      <c r="C28" s="136"/>
      <c r="D28" s="137"/>
      <c r="E28" s="149"/>
      <c r="F28" s="145"/>
      <c r="G28" s="138"/>
      <c r="H28" s="138"/>
      <c r="I28" s="138"/>
      <c r="J28" s="138"/>
    </row>
    <row r="29" spans="1:10" x14ac:dyDescent="0.2">
      <c r="B29" s="139"/>
      <c r="C29" s="140"/>
      <c r="D29" s="141">
        <f>SUM(D20:D28)</f>
        <v>7000</v>
      </c>
      <c r="E29" s="150">
        <f t="shared" ref="E29:J29" si="3">SUM(E20:E28)</f>
        <v>0</v>
      </c>
      <c r="F29" s="146">
        <f t="shared" si="3"/>
        <v>6650</v>
      </c>
      <c r="G29" s="142">
        <f t="shared" si="3"/>
        <v>6300</v>
      </c>
      <c r="H29" s="142">
        <f t="shared" si="3"/>
        <v>5950</v>
      </c>
      <c r="I29" s="142">
        <f t="shared" si="3"/>
        <v>5600</v>
      </c>
      <c r="J29" s="142">
        <f t="shared" si="3"/>
        <v>5250</v>
      </c>
    </row>
    <row r="30" spans="1:10" x14ac:dyDescent="0.2">
      <c r="B30" s="9"/>
      <c r="C30" s="45"/>
      <c r="D30" s="85"/>
      <c r="E30" s="94"/>
      <c r="F30" s="143"/>
      <c r="G30" s="6"/>
      <c r="H30" s="6"/>
      <c r="I30" s="6"/>
      <c r="J30" s="6"/>
    </row>
    <row r="31" spans="1:10" ht="16" thickBot="1" x14ac:dyDescent="0.25">
      <c r="B31" s="83"/>
      <c r="C31" s="84"/>
      <c r="D31" s="88">
        <f>SUM(D29:D30)</f>
        <v>7000</v>
      </c>
      <c r="E31" s="97"/>
      <c r="F31" s="147">
        <f>SUM(F29:F30)</f>
        <v>6650</v>
      </c>
      <c r="G31" s="11">
        <f t="shared" ref="G31:J31" si="4">SUM(G29:G30)</f>
        <v>6300</v>
      </c>
      <c r="H31" s="11">
        <f t="shared" si="4"/>
        <v>5950</v>
      </c>
      <c r="I31" s="11">
        <f t="shared" si="4"/>
        <v>5600</v>
      </c>
      <c r="J31" s="11">
        <f t="shared" si="4"/>
        <v>5250</v>
      </c>
    </row>
    <row r="32" spans="1:10" ht="16" thickTop="1" x14ac:dyDescent="0.2"/>
    <row r="35" x14ac:dyDescent="0.2"/>
    <row r="36" x14ac:dyDescent="0.2"/>
    <row r="37" x14ac:dyDescent="0.2"/>
  </sheetData>
  <sheetProtection algorithmName="SHA-512" hashValue="hATz1B7DtFlkR75oeg0Sfg35C2ODG7I/CJaM2uoD675xdG1AWUHm9kQMZJin9W+hDq+eaCpMTvdziRMAaN/fcQ==" saltValue="V3HrsMoTNIcqUrEl1aOOyQ==" spinCount="100000" sheet="1" objects="1" scenarios="1"/>
  <mergeCells count="7">
    <mergeCell ref="B19:C19"/>
    <mergeCell ref="A1:E1"/>
    <mergeCell ref="B2:J2"/>
    <mergeCell ref="B4:J4"/>
    <mergeCell ref="B16:C16"/>
    <mergeCell ref="B17:J17"/>
    <mergeCell ref="B18:J18"/>
  </mergeCells>
  <conditionalFormatting sqref="A1">
    <cfRule type="cellIs" dxfId="214" priority="1" operator="equal">
      <formula>0</formula>
    </cfRule>
  </conditionalFormatting>
  <hyperlinks>
    <hyperlink ref="A1" location="Summary!A1" display="Summary!A1" xr:uid="{BFA93EA2-1C67-4D1B-88EE-88E5443CE97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tabColor rgb="FF00FF00"/>
    <pageSetUpPr fitToPage="1"/>
  </sheetPr>
  <dimension ref="A1:T39"/>
  <sheetViews>
    <sheetView zoomScaleNormal="100" zoomScaleSheetLayoutView="100" workbookViewId="0">
      <pane xSplit="2" ySplit="5" topLeftCell="C20" activePane="bottomRight" state="frozen"/>
      <selection activeCell="B1" sqref="B1:J1"/>
      <selection pane="topRight" activeCell="B1" sqref="B1:J1"/>
      <selection pane="bottomLeft" activeCell="B1" sqref="B1:J1"/>
      <selection pane="bottomRight" activeCell="B1" sqref="B1:J1"/>
    </sheetView>
  </sheetViews>
  <sheetFormatPr baseColWidth="10" defaultColWidth="8.83203125" defaultRowHeight="15" x14ac:dyDescent="0.2"/>
  <cols>
    <col min="1" max="1" width="4" style="2" customWidth="1"/>
    <col min="2" max="2" width="45.33203125" style="2" bestFit="1" customWidth="1"/>
    <col min="3" max="3" width="8.1640625" style="2" hidden="1" customWidth="1"/>
    <col min="4" max="6" width="7.1640625" style="2" hidden="1" customWidth="1"/>
    <col min="7" max="8" width="8.1640625" style="2" hidden="1" customWidth="1"/>
    <col min="9" max="10" width="8.83203125" style="2" hidden="1" customWidth="1"/>
    <col min="11" max="11" width="7.83203125" style="2" hidden="1" customWidth="1"/>
    <col min="12" max="13" width="8.83203125" style="2" bestFit="1" customWidth="1"/>
    <col min="14" max="14" width="8.83203125" style="2" customWidth="1"/>
    <col min="15" max="15" width="8.83203125" style="2" bestFit="1" customWidth="1"/>
    <col min="16" max="16" width="8.83203125" style="2"/>
    <col min="17" max="17" width="10.5" style="2" bestFit="1" customWidth="1"/>
    <col min="18" max="18" width="15.6640625" style="2" bestFit="1" customWidth="1"/>
    <col min="19" max="19" width="28.1640625" style="2" bestFit="1" customWidth="1"/>
    <col min="20" max="20" width="8.6640625" style="2" bestFit="1" customWidth="1"/>
    <col min="21" max="16384" width="8.83203125" style="2"/>
  </cols>
  <sheetData>
    <row r="1" spans="1:15" s="1683" customFormat="1" ht="24" x14ac:dyDescent="0.2">
      <c r="A1" s="1912"/>
      <c r="B1" s="2289" t="s">
        <v>725</v>
      </c>
      <c r="C1" s="2289"/>
      <c r="D1" s="2289"/>
      <c r="E1" s="2289"/>
      <c r="F1" s="2289"/>
      <c r="G1" s="2289"/>
      <c r="H1" s="2289"/>
      <c r="I1" s="2289"/>
      <c r="J1" s="2289"/>
      <c r="K1" s="2289"/>
      <c r="L1" s="2289"/>
      <c r="M1" s="2289"/>
      <c r="N1" s="2289"/>
      <c r="O1" s="2289"/>
    </row>
    <row r="2" spans="1:15" ht="16" x14ac:dyDescent="0.2">
      <c r="B2" s="2413" t="s">
        <v>46</v>
      </c>
      <c r="C2" s="2413"/>
      <c r="D2" s="2413"/>
      <c r="E2" s="2413"/>
      <c r="F2" s="2413"/>
      <c r="G2" s="2413"/>
      <c r="H2" s="2413"/>
      <c r="I2" s="2413"/>
      <c r="J2" s="2413"/>
      <c r="K2" s="2413"/>
      <c r="L2" s="2413"/>
      <c r="M2" s="2413"/>
      <c r="N2" s="2413"/>
      <c r="O2" s="2413"/>
    </row>
    <row r="3" spans="1:15" x14ac:dyDescent="0.2">
      <c r="B3" s="73"/>
      <c r="C3" s="73"/>
      <c r="D3" s="73"/>
      <c r="E3" s="26"/>
      <c r="F3" s="73"/>
      <c r="G3" s="73"/>
      <c r="H3" s="73"/>
      <c r="I3" s="73"/>
      <c r="J3" s="73"/>
      <c r="K3" s="73"/>
      <c r="L3" s="73"/>
      <c r="M3" s="12"/>
      <c r="N3" s="12"/>
      <c r="O3" s="73"/>
    </row>
    <row r="4" spans="1:15" x14ac:dyDescent="0.2">
      <c r="B4" s="52"/>
      <c r="C4" s="8">
        <v>2014</v>
      </c>
      <c r="D4" s="2366">
        <v>2015</v>
      </c>
      <c r="E4" s="2366"/>
      <c r="F4" s="8">
        <v>2016</v>
      </c>
      <c r="G4" s="8">
        <v>2017</v>
      </c>
      <c r="H4" s="8">
        <v>2018</v>
      </c>
      <c r="I4" s="8">
        <v>2019</v>
      </c>
      <c r="J4" s="8">
        <v>2020</v>
      </c>
      <c r="K4" s="8">
        <v>2021</v>
      </c>
      <c r="L4" s="2323" t="s">
        <v>481</v>
      </c>
      <c r="M4" s="2323"/>
      <c r="N4" s="2323"/>
      <c r="O4" s="1473" t="s">
        <v>519</v>
      </c>
    </row>
    <row r="5" spans="1:15" x14ac:dyDescent="0.2">
      <c r="B5" s="73"/>
      <c r="C5" s="2459" t="s">
        <v>520</v>
      </c>
      <c r="D5" s="2459"/>
      <c r="E5" s="2459"/>
      <c r="F5" s="2459"/>
      <c r="G5" s="2459"/>
      <c r="H5" s="2459"/>
      <c r="I5" s="2459"/>
      <c r="J5" s="2459"/>
      <c r="K5" s="2459"/>
      <c r="L5" s="8">
        <v>2022</v>
      </c>
      <c r="M5" s="411">
        <v>2023</v>
      </c>
      <c r="N5" s="8">
        <v>2024</v>
      </c>
      <c r="O5" s="411">
        <v>2025</v>
      </c>
    </row>
    <row r="6" spans="1:15" hidden="1" x14ac:dyDescent="0.2">
      <c r="B6" s="73" t="s">
        <v>614</v>
      </c>
      <c r="C6" s="911"/>
      <c r="D6" s="911"/>
      <c r="E6" s="934"/>
      <c r="F6" s="934">
        <v>0</v>
      </c>
      <c r="G6" s="934">
        <v>0</v>
      </c>
      <c r="H6" s="934"/>
      <c r="I6" s="707"/>
      <c r="J6" s="707"/>
      <c r="K6" s="707"/>
      <c r="L6" s="707"/>
      <c r="M6" s="947"/>
      <c r="N6" s="947"/>
      <c r="O6" s="947"/>
    </row>
    <row r="7" spans="1:15" hidden="1" x14ac:dyDescent="0.2">
      <c r="B7" s="73" t="s">
        <v>611</v>
      </c>
      <c r="C7" s="911"/>
      <c r="D7" s="911"/>
      <c r="E7" s="934"/>
      <c r="F7" s="934">
        <v>0</v>
      </c>
      <c r="G7" s="934">
        <v>0</v>
      </c>
      <c r="H7" s="934"/>
      <c r="I7" s="707"/>
      <c r="J7" s="707"/>
      <c r="K7" s="707"/>
      <c r="L7" s="707"/>
      <c r="M7" s="947"/>
      <c r="N7" s="947"/>
      <c r="O7" s="947"/>
    </row>
    <row r="8" spans="1:15" hidden="1" x14ac:dyDescent="0.2">
      <c r="B8" s="73" t="s">
        <v>236</v>
      </c>
      <c r="C8" s="911">
        <v>-18.98</v>
      </c>
      <c r="D8" s="911"/>
      <c r="E8" s="934"/>
      <c r="F8" s="911"/>
      <c r="G8" s="934"/>
      <c r="H8" s="934"/>
      <c r="I8" s="707"/>
      <c r="J8" s="707"/>
      <c r="K8" s="707"/>
      <c r="L8" s="707"/>
      <c r="M8" s="947"/>
      <c r="N8" s="947"/>
      <c r="O8" s="947"/>
    </row>
    <row r="9" spans="1:15" hidden="1" x14ac:dyDescent="0.2">
      <c r="B9" s="73" t="s">
        <v>237</v>
      </c>
      <c r="C9" s="911">
        <f>-298.2</f>
        <v>-298.2</v>
      </c>
      <c r="D9" s="911"/>
      <c r="E9" s="934"/>
      <c r="F9" s="911"/>
      <c r="G9" s="934"/>
      <c r="H9" s="934"/>
      <c r="I9" s="707"/>
      <c r="J9" s="707"/>
      <c r="K9" s="707"/>
      <c r="L9" s="707"/>
      <c r="M9" s="947"/>
      <c r="N9" s="947"/>
      <c r="O9" s="947"/>
    </row>
    <row r="10" spans="1:15" hidden="1" x14ac:dyDescent="0.2">
      <c r="B10" s="73" t="s">
        <v>238</v>
      </c>
      <c r="C10" s="911">
        <v>108</v>
      </c>
      <c r="D10" s="911"/>
      <c r="E10" s="934"/>
      <c r="F10" s="911"/>
      <c r="G10" s="934"/>
      <c r="H10" s="934"/>
      <c r="I10" s="707"/>
      <c r="J10" s="707"/>
      <c r="K10" s="707"/>
      <c r="L10" s="707"/>
      <c r="M10" s="947"/>
      <c r="N10" s="947"/>
      <c r="O10" s="947"/>
    </row>
    <row r="11" spans="1:15" hidden="1" x14ac:dyDescent="0.2">
      <c r="B11" s="73" t="s">
        <v>239</v>
      </c>
      <c r="C11" s="911">
        <v>-50</v>
      </c>
      <c r="D11" s="911"/>
      <c r="E11" s="934"/>
      <c r="F11" s="911"/>
      <c r="G11" s="934"/>
      <c r="H11" s="934"/>
      <c r="I11" s="707"/>
      <c r="J11" s="707"/>
      <c r="K11" s="707"/>
      <c r="L11" s="707"/>
      <c r="M11" s="947"/>
      <c r="N11" s="947"/>
      <c r="O11" s="947"/>
    </row>
    <row r="12" spans="1:15" hidden="1" x14ac:dyDescent="0.2">
      <c r="B12" s="28" t="s">
        <v>240</v>
      </c>
      <c r="C12" s="916"/>
      <c r="D12" s="916"/>
      <c r="E12" s="934">
        <v>50</v>
      </c>
      <c r="F12" s="911"/>
      <c r="G12" s="934"/>
      <c r="H12" s="934"/>
      <c r="I12" s="707"/>
      <c r="J12" s="707"/>
      <c r="K12" s="707"/>
      <c r="L12" s="707"/>
      <c r="M12" s="947"/>
      <c r="N12" s="947"/>
      <c r="O12" s="947"/>
    </row>
    <row r="13" spans="1:15" hidden="1" x14ac:dyDescent="0.2">
      <c r="B13" s="28" t="s">
        <v>241</v>
      </c>
      <c r="C13" s="916"/>
      <c r="D13" s="911">
        <v>-50</v>
      </c>
      <c r="E13" s="2594">
        <v>-66</v>
      </c>
      <c r="F13" s="2595"/>
      <c r="G13" s="2594"/>
      <c r="H13" s="2594"/>
      <c r="I13" s="707"/>
      <c r="J13" s="707"/>
      <c r="K13" s="707"/>
      <c r="L13" s="707"/>
      <c r="M13" s="947"/>
      <c r="N13" s="947"/>
      <c r="O13" s="947"/>
    </row>
    <row r="14" spans="1:15" hidden="1" x14ac:dyDescent="0.2">
      <c r="B14" s="28" t="s">
        <v>242</v>
      </c>
      <c r="C14" s="916"/>
      <c r="D14" s="911">
        <v>-10</v>
      </c>
      <c r="E14" s="2594"/>
      <c r="F14" s="2595"/>
      <c r="G14" s="2594"/>
      <c r="H14" s="2594"/>
      <c r="I14" s="707"/>
      <c r="J14" s="707"/>
      <c r="K14" s="707"/>
      <c r="L14" s="707"/>
      <c r="M14" s="947"/>
      <c r="N14" s="947"/>
      <c r="O14" s="947"/>
    </row>
    <row r="15" spans="1:15" hidden="1" x14ac:dyDescent="0.2">
      <c r="B15" s="28" t="s">
        <v>243</v>
      </c>
      <c r="C15" s="916"/>
      <c r="D15" s="911">
        <v>-5.99</v>
      </c>
      <c r="E15" s="2594"/>
      <c r="F15" s="2595"/>
      <c r="G15" s="2594"/>
      <c r="H15" s="2594"/>
      <c r="I15" s="707"/>
      <c r="J15" s="707"/>
      <c r="K15" s="707"/>
      <c r="L15" s="707"/>
      <c r="M15" s="947"/>
      <c r="N15" s="947"/>
      <c r="O15" s="947"/>
    </row>
    <row r="16" spans="1:15" hidden="1" x14ac:dyDescent="0.2">
      <c r="B16" s="28" t="s">
        <v>244</v>
      </c>
      <c r="C16" s="916"/>
      <c r="D16" s="916"/>
      <c r="E16" s="934">
        <v>-9.89</v>
      </c>
      <c r="F16" s="911"/>
      <c r="G16" s="934"/>
      <c r="H16" s="934"/>
      <c r="I16" s="707"/>
      <c r="J16" s="707"/>
      <c r="K16" s="707"/>
      <c r="L16" s="707"/>
      <c r="M16" s="947"/>
      <c r="N16" s="947"/>
      <c r="O16" s="947"/>
    </row>
    <row r="17" spans="2:15" hidden="1" x14ac:dyDescent="0.2">
      <c r="B17" s="12" t="s">
        <v>612</v>
      </c>
      <c r="C17" s="916"/>
      <c r="D17" s="916"/>
      <c r="E17" s="934"/>
      <c r="F17" s="911"/>
      <c r="G17" s="934">
        <v>-60</v>
      </c>
      <c r="H17" s="934"/>
      <c r="I17" s="707"/>
      <c r="J17" s="707"/>
      <c r="K17" s="707"/>
      <c r="L17" s="707"/>
      <c r="M17" s="947"/>
      <c r="N17" s="947"/>
      <c r="O17" s="947"/>
    </row>
    <row r="18" spans="2:15" hidden="1" x14ac:dyDescent="0.2">
      <c r="B18" s="73" t="s">
        <v>615</v>
      </c>
      <c r="C18" s="916"/>
      <c r="D18" s="916"/>
      <c r="E18" s="934"/>
      <c r="F18" s="911"/>
      <c r="G18" s="934">
        <v>-60</v>
      </c>
      <c r="H18" s="934"/>
      <c r="I18" s="707"/>
      <c r="J18" s="707"/>
      <c r="K18" s="707"/>
      <c r="L18" s="707"/>
      <c r="M18" s="947"/>
      <c r="N18" s="947"/>
      <c r="O18" s="947"/>
    </row>
    <row r="19" spans="2:15" hidden="1" x14ac:dyDescent="0.2">
      <c r="B19" s="28" t="s">
        <v>613</v>
      </c>
      <c r="C19" s="916"/>
      <c r="D19" s="916"/>
      <c r="E19" s="934"/>
      <c r="F19" s="911"/>
      <c r="G19" s="934">
        <v>-6</v>
      </c>
      <c r="H19" s="934"/>
      <c r="I19" s="707"/>
      <c r="J19" s="707"/>
      <c r="K19" s="707"/>
      <c r="L19" s="707"/>
      <c r="M19" s="947"/>
      <c r="N19" s="947"/>
      <c r="O19" s="947"/>
    </row>
    <row r="20" spans="2:15" x14ac:dyDescent="0.2">
      <c r="B20" s="73" t="s">
        <v>245</v>
      </c>
      <c r="C20" s="911"/>
      <c r="D20" s="911"/>
      <c r="E20" s="934"/>
      <c r="F20" s="916">
        <v>-26</v>
      </c>
      <c r="G20" s="957">
        <v>-24</v>
      </c>
      <c r="H20" s="957">
        <v>-32</v>
      </c>
      <c r="I20" s="707">
        <v>-16</v>
      </c>
      <c r="J20" s="707">
        <v>-10</v>
      </c>
      <c r="K20" s="707">
        <v>-18</v>
      </c>
      <c r="L20" s="707">
        <v>-31.91</v>
      </c>
      <c r="M20" s="947"/>
      <c r="N20" s="947"/>
      <c r="O20" s="947"/>
    </row>
    <row r="21" spans="2:15" x14ac:dyDescent="0.2">
      <c r="B21" s="73" t="s">
        <v>304</v>
      </c>
      <c r="C21" s="911"/>
      <c r="D21" s="911"/>
      <c r="E21" s="934"/>
      <c r="F21" s="916"/>
      <c r="G21" s="957"/>
      <c r="H21" s="957">
        <v>-4</v>
      </c>
      <c r="I21" s="707"/>
      <c r="J21" s="707"/>
      <c r="K21" s="707"/>
      <c r="L21" s="707"/>
      <c r="M21" s="947"/>
      <c r="N21" s="947"/>
      <c r="O21" s="947"/>
    </row>
    <row r="22" spans="2:15" x14ac:dyDescent="0.2">
      <c r="B22" s="73" t="s">
        <v>839</v>
      </c>
      <c r="C22" s="911"/>
      <c r="D22" s="911"/>
      <c r="E22" s="934"/>
      <c r="F22" s="916"/>
      <c r="G22" s="957"/>
      <c r="H22" s="957"/>
      <c r="I22" s="707">
        <v>-1.79</v>
      </c>
      <c r="J22" s="707"/>
      <c r="K22" s="707"/>
      <c r="L22" s="707"/>
      <c r="M22" s="947"/>
      <c r="N22" s="947"/>
      <c r="O22" s="947"/>
    </row>
    <row r="23" spans="2:15" x14ac:dyDescent="0.2">
      <c r="B23" s="73" t="s">
        <v>957</v>
      </c>
      <c r="C23" s="911"/>
      <c r="D23" s="911"/>
      <c r="E23" s="934"/>
      <c r="F23" s="916"/>
      <c r="G23" s="957"/>
      <c r="H23" s="957"/>
      <c r="I23" s="707"/>
      <c r="J23" s="707"/>
      <c r="K23" s="707">
        <v>-47</v>
      </c>
      <c r="L23" s="707"/>
      <c r="M23" s="947"/>
      <c r="N23" s="947"/>
      <c r="O23" s="947"/>
    </row>
    <row r="24" spans="2:15" x14ac:dyDescent="0.2">
      <c r="B24" s="73" t="s">
        <v>840</v>
      </c>
      <c r="C24" s="911"/>
      <c r="D24" s="911"/>
      <c r="E24" s="934"/>
      <c r="F24" s="916"/>
      <c r="G24" s="957"/>
      <c r="H24" s="957"/>
      <c r="I24" s="707">
        <v>-19.5</v>
      </c>
      <c r="J24" s="707"/>
      <c r="K24" s="707"/>
      <c r="L24" s="707"/>
      <c r="M24" s="947"/>
      <c r="N24" s="947"/>
      <c r="O24" s="947"/>
    </row>
    <row r="25" spans="2:15" x14ac:dyDescent="0.2">
      <c r="B25" s="73" t="s">
        <v>958</v>
      </c>
      <c r="C25" s="911"/>
      <c r="D25" s="911"/>
      <c r="E25" s="934"/>
      <c r="F25" s="916"/>
      <c r="G25" s="957"/>
      <c r="H25" s="957"/>
      <c r="I25" s="707"/>
      <c r="J25" s="707"/>
      <c r="K25" s="707">
        <v>-21</v>
      </c>
      <c r="L25" s="707"/>
      <c r="M25" s="947"/>
      <c r="N25" s="947"/>
      <c r="O25" s="947"/>
    </row>
    <row r="26" spans="2:15" x14ac:dyDescent="0.2">
      <c r="B26" s="73" t="s">
        <v>841</v>
      </c>
      <c r="C26" s="911"/>
      <c r="D26" s="911"/>
      <c r="E26" s="934"/>
      <c r="F26" s="916"/>
      <c r="G26" s="957"/>
      <c r="H26" s="957"/>
      <c r="I26" s="707">
        <v>-30</v>
      </c>
      <c r="J26" s="707"/>
      <c r="K26" s="707"/>
      <c r="L26" s="707"/>
      <c r="M26" s="947"/>
      <c r="N26" s="947"/>
      <c r="O26" s="947"/>
    </row>
    <row r="27" spans="2:15" x14ac:dyDescent="0.2">
      <c r="B27" s="12" t="s">
        <v>842</v>
      </c>
      <c r="C27" s="935"/>
      <c r="D27" s="935"/>
      <c r="E27" s="735"/>
      <c r="F27" s="708"/>
      <c r="G27" s="865"/>
      <c r="H27" s="865"/>
      <c r="I27" s="947">
        <v>-40</v>
      </c>
      <c r="J27" s="947"/>
      <c r="K27" s="947"/>
      <c r="L27" s="947"/>
      <c r="M27" s="947"/>
      <c r="N27" s="947"/>
      <c r="O27" s="947"/>
    </row>
    <row r="28" spans="2:15" x14ac:dyDescent="0.2">
      <c r="B28" s="12" t="s">
        <v>843</v>
      </c>
      <c r="C28" s="935"/>
      <c r="D28" s="935"/>
      <c r="E28" s="735"/>
      <c r="F28" s="708"/>
      <c r="G28" s="865"/>
      <c r="H28" s="865"/>
      <c r="I28" s="947">
        <v>-11</v>
      </c>
      <c r="J28" s="947"/>
      <c r="K28" s="947"/>
      <c r="L28" s="947"/>
      <c r="M28" s="947"/>
      <c r="N28" s="947"/>
      <c r="O28" s="947"/>
    </row>
    <row r="29" spans="2:15" x14ac:dyDescent="0.2">
      <c r="B29" s="12" t="s">
        <v>844</v>
      </c>
      <c r="C29" s="935"/>
      <c r="D29" s="935"/>
      <c r="E29" s="735"/>
      <c r="F29" s="708"/>
      <c r="G29" s="865"/>
      <c r="H29" s="865"/>
      <c r="I29" s="947">
        <v>-25</v>
      </c>
      <c r="J29" s="947"/>
      <c r="K29" s="947"/>
      <c r="L29" s="947"/>
      <c r="M29" s="947"/>
      <c r="N29" s="947"/>
      <c r="O29" s="947"/>
    </row>
    <row r="30" spans="2:15" x14ac:dyDescent="0.2">
      <c r="B30" s="330" t="s">
        <v>1361</v>
      </c>
      <c r="C30" s="935"/>
      <c r="D30" s="935"/>
      <c r="E30" s="735"/>
      <c r="F30" s="708"/>
      <c r="G30" s="865"/>
      <c r="H30" s="865"/>
      <c r="I30" s="947"/>
      <c r="J30" s="947"/>
      <c r="K30" s="947"/>
      <c r="L30" s="947"/>
      <c r="M30" s="947"/>
      <c r="N30" s="947">
        <v>-121.19</v>
      </c>
      <c r="O30" s="947"/>
    </row>
    <row r="31" spans="2:15" x14ac:dyDescent="0.2">
      <c r="B31" s="331" t="s">
        <v>1362</v>
      </c>
      <c r="C31" s="935"/>
      <c r="D31" s="935"/>
      <c r="E31" s="735"/>
      <c r="F31" s="708"/>
      <c r="G31" s="865"/>
      <c r="H31" s="865"/>
      <c r="I31" s="947"/>
      <c r="J31" s="947"/>
      <c r="K31" s="947"/>
      <c r="L31" s="947"/>
      <c r="M31" s="947"/>
      <c r="N31" s="947">
        <v>-8</v>
      </c>
      <c r="O31" s="947"/>
    </row>
    <row r="32" spans="2:15" x14ac:dyDescent="0.2">
      <c r="B32" s="12"/>
      <c r="C32" s="935"/>
      <c r="D32" s="935"/>
      <c r="E32" s="735"/>
      <c r="F32" s="708"/>
      <c r="G32" s="865"/>
      <c r="H32" s="865"/>
      <c r="I32" s="947"/>
      <c r="J32" s="947"/>
      <c r="K32" s="947"/>
      <c r="L32" s="947"/>
      <c r="M32" s="947">
        <v>-195</v>
      </c>
      <c r="N32" s="947"/>
      <c r="O32" s="947"/>
    </row>
    <row r="33" spans="2:20" x14ac:dyDescent="0.2">
      <c r="B33" s="12"/>
      <c r="C33" s="935"/>
      <c r="D33" s="935"/>
      <c r="E33" s="735"/>
      <c r="F33" s="708"/>
      <c r="G33" s="865"/>
      <c r="H33" s="865"/>
      <c r="I33" s="947"/>
      <c r="J33" s="947"/>
      <c r="K33" s="947"/>
      <c r="L33" s="947"/>
      <c r="M33" s="947"/>
      <c r="N33" s="947"/>
      <c r="O33" s="947"/>
    </row>
    <row r="34" spans="2:20" x14ac:dyDescent="0.2">
      <c r="B34" s="12"/>
      <c r="C34" s="935"/>
      <c r="D34" s="935"/>
      <c r="E34" s="735"/>
      <c r="F34" s="708"/>
      <c r="G34" s="865"/>
      <c r="H34" s="865"/>
      <c r="I34" s="947"/>
      <c r="J34" s="947"/>
      <c r="K34" s="947"/>
      <c r="L34" s="947"/>
      <c r="M34" s="947"/>
      <c r="N34" s="947"/>
      <c r="O34" s="947"/>
      <c r="Q34" s="1218">
        <v>45343</v>
      </c>
      <c r="R34" s="330" t="s">
        <v>101</v>
      </c>
      <c r="S34" s="330" t="s">
        <v>1361</v>
      </c>
      <c r="T34" s="1300">
        <v>-121.19</v>
      </c>
    </row>
    <row r="35" spans="2:20" x14ac:dyDescent="0.2">
      <c r="B35" s="12"/>
      <c r="C35" s="935"/>
      <c r="D35" s="935"/>
      <c r="E35" s="735"/>
      <c r="F35" s="708"/>
      <c r="G35" s="865"/>
      <c r="H35" s="865"/>
      <c r="I35" s="947"/>
      <c r="J35" s="947"/>
      <c r="K35" s="947"/>
      <c r="L35" s="947"/>
      <c r="M35" s="947"/>
      <c r="N35" s="947"/>
      <c r="O35" s="947"/>
      <c r="Q35" s="1217">
        <v>45526</v>
      </c>
      <c r="R35" s="331" t="s">
        <v>128</v>
      </c>
      <c r="S35" s="331" t="s">
        <v>1362</v>
      </c>
      <c r="T35" s="1300">
        <v>-8</v>
      </c>
    </row>
    <row r="36" spans="2:20" x14ac:dyDescent="0.2">
      <c r="B36" s="73"/>
      <c r="C36" s="911"/>
      <c r="D36" s="911"/>
      <c r="E36" s="934"/>
      <c r="F36" s="916"/>
      <c r="G36" s="957"/>
      <c r="H36" s="957"/>
      <c r="I36" s="707"/>
      <c r="J36" s="707"/>
      <c r="K36" s="707"/>
      <c r="L36" s="707"/>
      <c r="M36" s="947"/>
      <c r="N36" s="947"/>
      <c r="O36" s="947"/>
      <c r="Q36" s="12"/>
      <c r="R36" s="12"/>
      <c r="S36" s="12"/>
      <c r="T36" s="2103">
        <f>SUM(T34:T35)</f>
        <v>-129.19</v>
      </c>
    </row>
    <row r="37" spans="2:20" x14ac:dyDescent="0.2">
      <c r="B37" s="73"/>
      <c r="C37" s="911"/>
      <c r="D37" s="911"/>
      <c r="E37" s="934"/>
      <c r="F37" s="916"/>
      <c r="G37" s="957"/>
      <c r="H37" s="957"/>
      <c r="I37" s="707"/>
      <c r="J37" s="707"/>
      <c r="K37" s="707"/>
      <c r="L37" s="707"/>
      <c r="M37" s="947"/>
      <c r="N37" s="947"/>
      <c r="O37" s="985">
        <v>-200</v>
      </c>
    </row>
    <row r="38" spans="2:20" ht="16" thickBot="1" x14ac:dyDescent="0.25">
      <c r="B38" s="24"/>
      <c r="C38" s="914">
        <f t="shared" ref="C38:I38" si="0">SUM(C5:C37)</f>
        <v>-259.18</v>
      </c>
      <c r="D38" s="914">
        <f t="shared" si="0"/>
        <v>-65.989999999999995</v>
      </c>
      <c r="E38" s="914">
        <f t="shared" si="0"/>
        <v>-25.89</v>
      </c>
      <c r="F38" s="914">
        <f t="shared" si="0"/>
        <v>-26</v>
      </c>
      <c r="G38" s="914">
        <f t="shared" si="0"/>
        <v>-150</v>
      </c>
      <c r="H38" s="914">
        <f t="shared" si="0"/>
        <v>-36</v>
      </c>
      <c r="I38" s="914">
        <f t="shared" si="0"/>
        <v>-143.29</v>
      </c>
      <c r="J38" s="933">
        <f t="shared" ref="J38:K38" si="1">SUM(J5:J37)</f>
        <v>-10</v>
      </c>
      <c r="K38" s="915">
        <f t="shared" si="1"/>
        <v>-86</v>
      </c>
      <c r="L38" s="915">
        <f>SUM(L6:L37)</f>
        <v>-31.91</v>
      </c>
      <c r="M38" s="915">
        <f t="shared" ref="M38:N38" si="2">SUM(M6:M37)</f>
        <v>-195</v>
      </c>
      <c r="N38" s="915">
        <f t="shared" si="2"/>
        <v>-129.19</v>
      </c>
      <c r="O38" s="964">
        <f>SUM(O6:O37)</f>
        <v>-200</v>
      </c>
    </row>
    <row r="39" spans="2:20" ht="16" thickTop="1" x14ac:dyDescent="0.2"/>
  </sheetData>
  <mergeCells count="9">
    <mergeCell ref="B1:O1"/>
    <mergeCell ref="B2:O2"/>
    <mergeCell ref="D4:E4"/>
    <mergeCell ref="E13:E15"/>
    <mergeCell ref="F13:F15"/>
    <mergeCell ref="G13:G15"/>
    <mergeCell ref="H13:H15"/>
    <mergeCell ref="C5:K5"/>
    <mergeCell ref="L4:N4"/>
  </mergeCells>
  <conditionalFormatting sqref="A1:B1">
    <cfRule type="cellIs" dxfId="15" priority="2" operator="equal">
      <formula>0</formula>
    </cfRule>
  </conditionalFormatting>
  <conditionalFormatting sqref="B2">
    <cfRule type="cellIs" dxfId="14" priority="5" operator="equal">
      <formula>0</formula>
    </cfRule>
  </conditionalFormatting>
  <hyperlinks>
    <hyperlink ref="B1" location="Summary!A1" display="Summary!A1" xr:uid="{B4F803AF-86C2-4265-9436-9076780292B6}"/>
    <hyperlink ref="O38" location="Summary!T57" display="Summary!T57" xr:uid="{90BD9C9D-953F-4FA9-A68C-AF43481C37D5}"/>
  </hyperlinks>
  <printOptions horizontalCentered="1"/>
  <pageMargins left="0.70866141732283472" right="0"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tabColor rgb="FF00FF00"/>
    <pageSetUpPr fitToPage="1"/>
  </sheetPr>
  <dimension ref="A1:J13"/>
  <sheetViews>
    <sheetView zoomScaleNormal="100" zoomScaleSheetLayoutView="100" workbookViewId="0">
      <pane xSplit="2" ySplit="3" topLeftCell="C4" activePane="bottomRight" state="frozen"/>
      <selection activeCell="B1" sqref="B1:J1"/>
      <selection pane="topRight" activeCell="B1" sqref="B1:J1"/>
      <selection pane="bottomLeft" activeCell="B1" sqref="B1:J1"/>
      <selection pane="bottomRight" activeCell="B1" sqref="B1:J1"/>
    </sheetView>
  </sheetViews>
  <sheetFormatPr baseColWidth="10" defaultColWidth="8.83203125" defaultRowHeight="15" x14ac:dyDescent="0.2"/>
  <cols>
    <col min="1" max="1" width="5" style="14" customWidth="1"/>
    <col min="2" max="2" width="25.5" style="14" customWidth="1"/>
    <col min="3" max="4" width="6.33203125" style="14" hidden="1" customWidth="1"/>
    <col min="5" max="6" width="8.5" style="14" hidden="1" customWidth="1"/>
    <col min="7" max="10" width="8.5" style="14" customWidth="1"/>
    <col min="11" max="16384" width="8.83203125" style="14"/>
  </cols>
  <sheetData>
    <row r="1" spans="1:10" s="1909" customFormat="1" ht="24" x14ac:dyDescent="0.2">
      <c r="A1" s="1912"/>
      <c r="B1" s="2289" t="s">
        <v>725</v>
      </c>
      <c r="C1" s="2289"/>
      <c r="D1" s="2289"/>
      <c r="E1" s="2289"/>
      <c r="F1" s="2289"/>
      <c r="G1" s="2289"/>
      <c r="H1" s="2289"/>
      <c r="I1" s="2289"/>
      <c r="J1" s="2289"/>
    </row>
    <row r="2" spans="1:10" x14ac:dyDescent="0.2">
      <c r="B2" s="2418" t="s">
        <v>47</v>
      </c>
      <c r="C2" s="2418"/>
      <c r="D2" s="2418"/>
      <c r="E2" s="2418"/>
      <c r="F2" s="2418"/>
      <c r="G2" s="2418"/>
      <c r="H2" s="2418"/>
      <c r="I2" s="2418"/>
      <c r="J2" s="2418"/>
    </row>
    <row r="3" spans="1:10" x14ac:dyDescent="0.2">
      <c r="B3" s="18"/>
      <c r="C3" s="1309" t="s">
        <v>481</v>
      </c>
      <c r="D3" s="1309" t="s">
        <v>481</v>
      </c>
      <c r="E3" s="1309" t="s">
        <v>481</v>
      </c>
      <c r="F3" s="1309" t="s">
        <v>481</v>
      </c>
      <c r="G3" s="2596" t="s">
        <v>481</v>
      </c>
      <c r="H3" s="2596"/>
      <c r="I3" s="2596"/>
      <c r="J3" s="1478" t="s">
        <v>519</v>
      </c>
    </row>
    <row r="4" spans="1:10" x14ac:dyDescent="0.2">
      <c r="B4" s="18"/>
      <c r="C4" s="845">
        <v>2018</v>
      </c>
      <c r="D4" s="845">
        <v>2019</v>
      </c>
      <c r="E4" s="845">
        <v>2020</v>
      </c>
      <c r="F4" s="845">
        <v>2021</v>
      </c>
      <c r="G4" s="845">
        <v>2022</v>
      </c>
      <c r="H4" s="1097">
        <v>2023</v>
      </c>
      <c r="I4" s="845">
        <v>2024</v>
      </c>
      <c r="J4" s="845">
        <v>2025</v>
      </c>
    </row>
    <row r="5" spans="1:10" x14ac:dyDescent="0.2">
      <c r="B5" s="18"/>
      <c r="C5" s="961"/>
      <c r="D5" s="961"/>
      <c r="E5" s="961"/>
      <c r="F5" s="961"/>
      <c r="G5" s="910"/>
      <c r="H5" s="1093"/>
      <c r="I5" s="1093"/>
      <c r="J5" s="1093"/>
    </row>
    <row r="6" spans="1:10" x14ac:dyDescent="0.2">
      <c r="B6" s="18" t="s">
        <v>1075</v>
      </c>
      <c r="C6" s="961"/>
      <c r="D6" s="961"/>
      <c r="E6" s="961"/>
      <c r="F6" s="961"/>
      <c r="G6" s="910"/>
      <c r="H6" s="1093">
        <v>-215</v>
      </c>
      <c r="I6" s="1093"/>
      <c r="J6" s="1093"/>
    </row>
    <row r="7" spans="1:10" x14ac:dyDescent="0.2">
      <c r="B7" s="18"/>
      <c r="C7" s="961"/>
      <c r="D7" s="961"/>
      <c r="E7" s="961"/>
      <c r="F7" s="961"/>
      <c r="G7" s="910"/>
      <c r="H7" s="1093"/>
      <c r="I7" s="1093"/>
      <c r="J7" s="1093"/>
    </row>
    <row r="8" spans="1:10" x14ac:dyDescent="0.2">
      <c r="B8" s="18"/>
      <c r="C8" s="961"/>
      <c r="D8" s="961"/>
      <c r="E8" s="961"/>
      <c r="F8" s="961"/>
      <c r="G8" s="910"/>
      <c r="H8" s="1093"/>
      <c r="I8" s="1093"/>
      <c r="J8" s="1093"/>
    </row>
    <row r="9" spans="1:10" x14ac:dyDescent="0.2">
      <c r="B9" s="18"/>
      <c r="C9" s="961"/>
      <c r="D9" s="961"/>
      <c r="E9" s="961"/>
      <c r="F9" s="961"/>
      <c r="G9" s="910"/>
      <c r="H9" s="1093"/>
      <c r="I9" s="1093"/>
      <c r="J9" s="1093"/>
    </row>
    <row r="10" spans="1:10" x14ac:dyDescent="0.2">
      <c r="B10" s="18"/>
      <c r="C10" s="961"/>
      <c r="D10" s="961"/>
      <c r="E10" s="961"/>
      <c r="F10" s="961"/>
      <c r="G10" s="910"/>
      <c r="H10" s="1093"/>
      <c r="I10" s="1093"/>
      <c r="J10" s="1093"/>
    </row>
    <row r="11" spans="1:10" x14ac:dyDescent="0.2">
      <c r="B11" s="18"/>
      <c r="C11" s="961"/>
      <c r="D11" s="961"/>
      <c r="E11" s="961"/>
      <c r="F11" s="961"/>
      <c r="G11" s="910">
        <v>0</v>
      </c>
      <c r="H11" s="1093"/>
      <c r="I11" s="1093">
        <v>0</v>
      </c>
      <c r="J11" s="980">
        <v>-75</v>
      </c>
    </row>
    <row r="12" spans="1:10" ht="16" thickBot="1" x14ac:dyDescent="0.25">
      <c r="B12" s="286"/>
      <c r="C12" s="921">
        <f t="shared" ref="C12:I12" si="0">SUM(C5:C11)</f>
        <v>0</v>
      </c>
      <c r="D12" s="921">
        <f t="shared" si="0"/>
        <v>0</v>
      </c>
      <c r="E12" s="921">
        <f t="shared" si="0"/>
        <v>0</v>
      </c>
      <c r="F12" s="921">
        <f t="shared" si="0"/>
        <v>0</v>
      </c>
      <c r="G12" s="1614">
        <f t="shared" si="0"/>
        <v>0</v>
      </c>
      <c r="H12" s="1094">
        <f t="shared" si="0"/>
        <v>-215</v>
      </c>
      <c r="I12" s="1094">
        <f t="shared" si="0"/>
        <v>0</v>
      </c>
      <c r="J12" s="969">
        <f>SUM(J5:J11)</f>
        <v>-75</v>
      </c>
    </row>
    <row r="13" spans="1:10" ht="16" thickTop="1" x14ac:dyDescent="0.2"/>
  </sheetData>
  <mergeCells count="3">
    <mergeCell ref="B2:J2"/>
    <mergeCell ref="B1:J1"/>
    <mergeCell ref="G3:I3"/>
  </mergeCells>
  <conditionalFormatting sqref="A1:B1">
    <cfRule type="cellIs" dxfId="13" priority="1" operator="equal">
      <formula>0</formula>
    </cfRule>
  </conditionalFormatting>
  <hyperlinks>
    <hyperlink ref="B1" location="Summary!A1" display="Summary!A1" xr:uid="{9C2637C1-E7AA-4EB6-AB0B-644C3EF669BB}"/>
    <hyperlink ref="J12" location="Summary!T62" display="Summary!T62" xr:uid="{C3A5051F-8EF2-44F8-8CC3-007D1F624C0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tabColor rgb="FF00FF00"/>
    <pageSetUpPr fitToPage="1"/>
  </sheetPr>
  <dimension ref="A1:U30"/>
  <sheetViews>
    <sheetView zoomScaleNormal="100" zoomScaleSheetLayoutView="100" workbookViewId="0">
      <pane xSplit="6" ySplit="5" topLeftCell="G21" activePane="bottomRight" state="frozen"/>
      <selection activeCell="B1" sqref="B1:J1"/>
      <selection pane="topRight" activeCell="B1" sqref="B1:J1"/>
      <selection pane="bottomLeft" activeCell="B1" sqref="B1:J1"/>
      <selection pane="bottomRight" activeCell="B1" sqref="B1:J1"/>
    </sheetView>
  </sheetViews>
  <sheetFormatPr baseColWidth="10" defaultColWidth="8.83203125" defaultRowHeight="15" x14ac:dyDescent="0.2"/>
  <cols>
    <col min="1" max="1" width="10" style="1683" customWidth="1"/>
    <col min="2" max="2" width="11.6640625" style="1683" bestFit="1" customWidth="1"/>
    <col min="3" max="3" width="15.6640625" style="1683" hidden="1" customWidth="1"/>
    <col min="4" max="4" width="32.1640625" style="1683" bestFit="1" customWidth="1"/>
    <col min="5" max="5" width="6.83203125" style="2042" hidden="1" customWidth="1"/>
    <col min="6" max="6" width="7.33203125" style="2042" hidden="1" customWidth="1"/>
    <col min="7" max="7" width="6.1640625" style="2042" hidden="1" customWidth="1"/>
    <col min="8" max="8" width="5.1640625" style="2042" hidden="1" customWidth="1"/>
    <col min="9" max="9" width="5" style="2042" hidden="1" customWidth="1"/>
    <col min="10" max="13" width="7" style="1683" hidden="1" customWidth="1"/>
    <col min="14" max="14" width="7" style="1683" bestFit="1" customWidth="1"/>
    <col min="15" max="17" width="9.83203125" style="1683" customWidth="1"/>
    <col min="18" max="18" width="8.83203125" style="1683"/>
    <col min="19" max="19" width="16.83203125" style="1683" bestFit="1" customWidth="1"/>
    <col min="20" max="20" width="24" style="1683" bestFit="1" customWidth="1"/>
    <col min="21" max="21" width="12.33203125" style="1683" bestFit="1" customWidth="1"/>
    <col min="22" max="16384" width="8.83203125" style="1683"/>
  </cols>
  <sheetData>
    <row r="1" spans="1:17" ht="24" x14ac:dyDescent="0.2">
      <c r="A1" s="1912"/>
      <c r="B1" s="2289" t="s">
        <v>725</v>
      </c>
      <c r="C1" s="2289"/>
      <c r="D1" s="2289"/>
      <c r="E1" s="2289"/>
      <c r="F1" s="2289"/>
      <c r="G1" s="2289"/>
      <c r="H1" s="2289"/>
      <c r="I1" s="2289"/>
      <c r="J1" s="2289"/>
      <c r="K1" s="2289"/>
      <c r="L1" s="2289"/>
      <c r="M1" s="2289"/>
      <c r="N1" s="2289"/>
      <c r="O1" s="2289"/>
      <c r="P1" s="2289"/>
      <c r="Q1" s="2289"/>
    </row>
    <row r="2" spans="1:17" x14ac:dyDescent="0.2">
      <c r="B2" s="2597" t="s">
        <v>624</v>
      </c>
      <c r="C2" s="2597"/>
      <c r="D2" s="2597"/>
      <c r="E2" s="2597"/>
      <c r="F2" s="2597"/>
      <c r="G2" s="2597"/>
      <c r="H2" s="2597"/>
      <c r="I2" s="2597"/>
      <c r="J2" s="2597"/>
      <c r="K2" s="2597"/>
      <c r="L2" s="2597"/>
      <c r="M2" s="2597"/>
      <c r="N2" s="2597"/>
      <c r="O2" s="2597"/>
      <c r="P2" s="2597"/>
      <c r="Q2" s="2597"/>
    </row>
    <row r="3" spans="1:17" x14ac:dyDescent="0.2">
      <c r="B3" s="309"/>
      <c r="C3" s="309"/>
      <c r="D3" s="309"/>
      <c r="E3" s="1615"/>
      <c r="F3" s="1615"/>
      <c r="G3" s="1615"/>
      <c r="H3" s="1615"/>
      <c r="I3" s="1615"/>
      <c r="J3" s="309"/>
      <c r="K3" s="309"/>
      <c r="L3" s="309"/>
      <c r="M3" s="309"/>
      <c r="N3" s="309"/>
      <c r="O3" s="309"/>
      <c r="P3" s="309"/>
      <c r="Q3" s="309"/>
    </row>
    <row r="4" spans="1:17" x14ac:dyDescent="0.2">
      <c r="B4" s="315" t="s">
        <v>586</v>
      </c>
      <c r="C4" s="315" t="s">
        <v>163</v>
      </c>
      <c r="D4" s="315" t="s">
        <v>160</v>
      </c>
      <c r="E4" s="316" t="s">
        <v>587</v>
      </c>
      <c r="F4" s="316" t="s">
        <v>616</v>
      </c>
      <c r="G4" s="2323" t="s">
        <v>481</v>
      </c>
      <c r="H4" s="2323"/>
      <c r="I4" s="2323"/>
      <c r="J4" s="2323"/>
      <c r="K4" s="2323"/>
      <c r="L4" s="2323"/>
      <c r="M4" s="2323"/>
      <c r="N4" s="2323" t="s">
        <v>481</v>
      </c>
      <c r="O4" s="2323"/>
      <c r="P4" s="2323"/>
      <c r="Q4" s="1473" t="s">
        <v>519</v>
      </c>
    </row>
    <row r="5" spans="1:17" x14ac:dyDescent="0.2">
      <c r="B5" s="318"/>
      <c r="C5" s="318"/>
      <c r="D5" s="318"/>
      <c r="E5" s="2598">
        <v>2015</v>
      </c>
      <c r="F5" s="2598"/>
      <c r="G5" s="2598"/>
      <c r="H5" s="1616">
        <v>2016</v>
      </c>
      <c r="I5" s="1616">
        <v>2017</v>
      </c>
      <c r="J5" s="1616">
        <v>2018</v>
      </c>
      <c r="K5" s="317">
        <v>2019</v>
      </c>
      <c r="L5" s="317">
        <v>2020</v>
      </c>
      <c r="M5" s="317">
        <v>2021</v>
      </c>
      <c r="N5" s="317">
        <v>2022</v>
      </c>
      <c r="O5" s="317">
        <v>2023</v>
      </c>
      <c r="P5" s="317">
        <v>2024</v>
      </c>
      <c r="Q5" s="317">
        <v>2025</v>
      </c>
    </row>
    <row r="6" spans="1:17" hidden="1" x14ac:dyDescent="0.2">
      <c r="B6" s="319">
        <v>42054</v>
      </c>
      <c r="C6" s="320" t="s">
        <v>618</v>
      </c>
      <c r="D6" s="320" t="s">
        <v>48</v>
      </c>
      <c r="E6" s="321"/>
      <c r="F6" s="321">
        <v>-132.5</v>
      </c>
      <c r="G6" s="321">
        <v>132.5</v>
      </c>
      <c r="H6" s="321"/>
      <c r="I6" s="321"/>
      <c r="J6" s="323"/>
      <c r="K6" s="323"/>
      <c r="L6" s="323"/>
      <c r="M6" s="323"/>
      <c r="N6" s="323"/>
      <c r="O6" s="323"/>
      <c r="P6" s="323"/>
      <c r="Q6" s="323"/>
    </row>
    <row r="7" spans="1:17" hidden="1" x14ac:dyDescent="0.2">
      <c r="B7" s="319">
        <v>42059</v>
      </c>
      <c r="C7" s="320" t="s">
        <v>621</v>
      </c>
      <c r="D7" s="320" t="s">
        <v>48</v>
      </c>
      <c r="E7" s="321">
        <v>265</v>
      </c>
      <c r="F7" s="321"/>
      <c r="G7" s="321">
        <v>-265</v>
      </c>
      <c r="H7" s="321"/>
      <c r="I7" s="321"/>
      <c r="J7" s="323"/>
      <c r="K7" s="323"/>
      <c r="L7" s="323"/>
      <c r="M7" s="323"/>
      <c r="N7" s="323"/>
      <c r="O7" s="323"/>
      <c r="P7" s="323"/>
      <c r="Q7" s="323"/>
    </row>
    <row r="8" spans="1:17" hidden="1" x14ac:dyDescent="0.2">
      <c r="B8" s="319">
        <v>42079</v>
      </c>
      <c r="C8" s="320" t="s">
        <v>619</v>
      </c>
      <c r="D8" s="320" t="s">
        <v>48</v>
      </c>
      <c r="E8" s="321"/>
      <c r="F8" s="321">
        <v>-15</v>
      </c>
      <c r="G8" s="321">
        <v>15</v>
      </c>
      <c r="H8" s="321"/>
      <c r="I8" s="321"/>
      <c r="J8" s="323"/>
      <c r="K8" s="323"/>
      <c r="L8" s="323"/>
      <c r="M8" s="323"/>
      <c r="N8" s="323"/>
      <c r="O8" s="323"/>
      <c r="P8" s="323"/>
      <c r="Q8" s="323"/>
    </row>
    <row r="9" spans="1:17" hidden="1" x14ac:dyDescent="0.2">
      <c r="B9" s="324">
        <v>42072</v>
      </c>
      <c r="C9" s="309" t="s">
        <v>620</v>
      </c>
      <c r="D9" s="309" t="s">
        <v>48</v>
      </c>
      <c r="E9" s="325"/>
      <c r="F9" s="325">
        <v>-255</v>
      </c>
      <c r="G9" s="325">
        <v>255</v>
      </c>
      <c r="H9" s="325"/>
      <c r="I9" s="325"/>
      <c r="J9" s="323"/>
      <c r="K9" s="323"/>
      <c r="L9" s="323"/>
      <c r="M9" s="323"/>
      <c r="N9" s="323"/>
      <c r="O9" s="323"/>
      <c r="P9" s="323"/>
      <c r="Q9" s="323"/>
    </row>
    <row r="10" spans="1:17" hidden="1" x14ac:dyDescent="0.2">
      <c r="B10" s="319">
        <v>42121</v>
      </c>
      <c r="C10" s="320" t="s">
        <v>617</v>
      </c>
      <c r="D10" s="320" t="s">
        <v>48</v>
      </c>
      <c r="E10" s="321"/>
      <c r="F10" s="321">
        <v>-132.5</v>
      </c>
      <c r="G10" s="321">
        <v>132.5</v>
      </c>
      <c r="H10" s="321"/>
      <c r="I10" s="321"/>
      <c r="J10" s="323"/>
      <c r="K10" s="323"/>
      <c r="L10" s="323"/>
      <c r="M10" s="323"/>
      <c r="N10" s="323"/>
      <c r="O10" s="323"/>
      <c r="P10" s="323"/>
      <c r="Q10" s="323"/>
    </row>
    <row r="11" spans="1:17" hidden="1" x14ac:dyDescent="0.2">
      <c r="B11" s="324">
        <v>42107</v>
      </c>
      <c r="C11" s="309" t="s">
        <v>618</v>
      </c>
      <c r="D11" s="309" t="s">
        <v>48</v>
      </c>
      <c r="E11" s="325"/>
      <c r="F11" s="325">
        <v>-24.25</v>
      </c>
      <c r="G11" s="325">
        <v>24.25</v>
      </c>
      <c r="H11" s="325"/>
      <c r="I11" s="325"/>
      <c r="J11" s="323"/>
      <c r="K11" s="323"/>
      <c r="L11" s="323"/>
      <c r="M11" s="323"/>
      <c r="N11" s="323"/>
      <c r="O11" s="323"/>
      <c r="P11" s="323"/>
      <c r="Q11" s="323"/>
    </row>
    <row r="12" spans="1:17" hidden="1" x14ac:dyDescent="0.2">
      <c r="B12" s="319">
        <v>42103</v>
      </c>
      <c r="C12" s="320" t="s">
        <v>175</v>
      </c>
      <c r="D12" s="320" t="s">
        <v>48</v>
      </c>
      <c r="E12" s="321">
        <v>82.88</v>
      </c>
      <c r="F12" s="321"/>
      <c r="G12" s="321">
        <v>-82.88</v>
      </c>
      <c r="H12" s="321"/>
      <c r="I12" s="321"/>
      <c r="J12" s="323"/>
      <c r="K12" s="323"/>
      <c r="L12" s="323"/>
      <c r="M12" s="323"/>
      <c r="N12" s="323"/>
      <c r="O12" s="323"/>
      <c r="P12" s="323"/>
      <c r="Q12" s="323"/>
    </row>
    <row r="13" spans="1:17" hidden="1" x14ac:dyDescent="0.2">
      <c r="B13" s="324">
        <v>42101</v>
      </c>
      <c r="C13" s="309" t="s">
        <v>183</v>
      </c>
      <c r="D13" s="309" t="s">
        <v>623</v>
      </c>
      <c r="E13" s="325">
        <v>48.5</v>
      </c>
      <c r="F13" s="325"/>
      <c r="G13" s="325">
        <v>-48.5</v>
      </c>
      <c r="H13" s="325"/>
      <c r="I13" s="325"/>
      <c r="J13" s="323"/>
      <c r="K13" s="323"/>
      <c r="L13" s="323"/>
      <c r="M13" s="323"/>
      <c r="N13" s="323"/>
      <c r="O13" s="323"/>
      <c r="P13" s="323"/>
      <c r="Q13" s="323"/>
    </row>
    <row r="14" spans="1:17" hidden="1" x14ac:dyDescent="0.2">
      <c r="B14" s="324">
        <v>42144</v>
      </c>
      <c r="C14" s="309" t="s">
        <v>175</v>
      </c>
      <c r="D14" s="309" t="s">
        <v>622</v>
      </c>
      <c r="E14" s="325">
        <v>19.919999999999998</v>
      </c>
      <c r="F14" s="325"/>
      <c r="G14" s="325">
        <v>-19.919999999999998</v>
      </c>
      <c r="H14" s="325"/>
      <c r="I14" s="325"/>
      <c r="J14" s="323"/>
      <c r="K14" s="323"/>
      <c r="L14" s="323"/>
      <c r="M14" s="323"/>
      <c r="N14" s="323"/>
      <c r="O14" s="323"/>
      <c r="P14" s="323"/>
      <c r="Q14" s="323"/>
    </row>
    <row r="15" spans="1:17" hidden="1" x14ac:dyDescent="0.2">
      <c r="B15" s="324">
        <v>42478</v>
      </c>
      <c r="C15" s="309" t="s">
        <v>183</v>
      </c>
      <c r="D15" s="309" t="s">
        <v>645</v>
      </c>
      <c r="E15" s="325"/>
      <c r="F15" s="325"/>
      <c r="G15" s="325"/>
      <c r="H15" s="325">
        <v>98</v>
      </c>
      <c r="I15" s="325"/>
      <c r="J15" s="323"/>
      <c r="K15" s="323"/>
      <c r="L15" s="323"/>
      <c r="M15" s="323"/>
      <c r="N15" s="323"/>
      <c r="O15" s="323"/>
      <c r="P15" s="323"/>
      <c r="Q15" s="323"/>
    </row>
    <row r="16" spans="1:17" hidden="1" x14ac:dyDescent="0.2">
      <c r="B16" s="324">
        <v>42478</v>
      </c>
      <c r="C16" s="309" t="s">
        <v>618</v>
      </c>
      <c r="D16" s="347" t="s">
        <v>646</v>
      </c>
      <c r="E16" s="325"/>
      <c r="F16" s="325"/>
      <c r="G16" s="325"/>
      <c r="H16" s="325">
        <v>-49</v>
      </c>
      <c r="I16" s="325"/>
      <c r="J16" s="323"/>
      <c r="K16" s="323"/>
      <c r="L16" s="323"/>
      <c r="M16" s="323"/>
      <c r="N16" s="323"/>
      <c r="O16" s="323"/>
      <c r="P16" s="323"/>
      <c r="Q16" s="323"/>
    </row>
    <row r="17" spans="2:21" hidden="1" x14ac:dyDescent="0.2">
      <c r="B17" s="324">
        <v>42020</v>
      </c>
      <c r="C17" s="309" t="s">
        <v>621</v>
      </c>
      <c r="D17" s="309" t="s">
        <v>647</v>
      </c>
      <c r="E17" s="321">
        <v>530</v>
      </c>
      <c r="F17" s="321"/>
      <c r="G17" s="321">
        <v>-530</v>
      </c>
      <c r="H17" s="325"/>
      <c r="I17" s="325"/>
      <c r="J17" s="323"/>
      <c r="K17" s="323"/>
      <c r="L17" s="323"/>
      <c r="M17" s="323"/>
      <c r="N17" s="323"/>
      <c r="O17" s="323"/>
      <c r="P17" s="323"/>
      <c r="Q17" s="323"/>
    </row>
    <row r="18" spans="2:21" hidden="1" x14ac:dyDescent="0.2">
      <c r="B18" s="346">
        <v>2018</v>
      </c>
      <c r="C18" s="320" t="s">
        <v>644</v>
      </c>
      <c r="D18" s="320" t="s">
        <v>48</v>
      </c>
      <c r="E18" s="321"/>
      <c r="F18" s="321"/>
      <c r="G18" s="321"/>
      <c r="H18" s="321"/>
      <c r="I18" s="321"/>
      <c r="J18" s="322">
        <v>-607.48</v>
      </c>
      <c r="K18" s="322"/>
      <c r="L18" s="322"/>
      <c r="M18" s="322"/>
      <c r="N18" s="322"/>
      <c r="O18" s="322"/>
      <c r="P18" s="322"/>
      <c r="Q18" s="322"/>
    </row>
    <row r="19" spans="2:21" hidden="1" x14ac:dyDescent="0.2">
      <c r="B19" s="346">
        <v>2018</v>
      </c>
      <c r="C19" s="309" t="s">
        <v>175</v>
      </c>
      <c r="D19" s="309" t="s">
        <v>622</v>
      </c>
      <c r="E19" s="321"/>
      <c r="F19" s="321"/>
      <c r="G19" s="321"/>
      <c r="H19" s="321"/>
      <c r="I19" s="321"/>
      <c r="J19" s="322">
        <v>-133</v>
      </c>
      <c r="K19" s="322"/>
      <c r="L19" s="322"/>
      <c r="M19" s="322"/>
      <c r="N19" s="322"/>
      <c r="O19" s="322"/>
      <c r="P19" s="322"/>
      <c r="Q19" s="322"/>
    </row>
    <row r="20" spans="2:21" hidden="1" x14ac:dyDescent="0.2">
      <c r="B20" s="346">
        <v>2020</v>
      </c>
      <c r="C20" s="309"/>
      <c r="D20" s="309" t="s">
        <v>845</v>
      </c>
      <c r="E20" s="321"/>
      <c r="F20" s="321"/>
      <c r="G20" s="321"/>
      <c r="H20" s="321"/>
      <c r="I20" s="321"/>
      <c r="J20" s="322">
        <v>-133</v>
      </c>
      <c r="K20" s="322"/>
      <c r="L20" s="322"/>
      <c r="M20" s="322"/>
      <c r="N20" s="322"/>
      <c r="O20" s="322"/>
      <c r="P20" s="322"/>
      <c r="Q20" s="322"/>
    </row>
    <row r="21" spans="2:21" x14ac:dyDescent="0.2">
      <c r="B21" s="346"/>
      <c r="C21" s="309"/>
      <c r="D21" s="1311" t="s">
        <v>1364</v>
      </c>
      <c r="E21" s="321"/>
      <c r="F21" s="321"/>
      <c r="G21" s="321"/>
      <c r="H21" s="321"/>
      <c r="I21" s="321"/>
      <c r="J21" s="322"/>
      <c r="K21" s="322"/>
      <c r="L21" s="322"/>
      <c r="M21" s="322"/>
      <c r="N21" s="322"/>
      <c r="O21" s="322"/>
      <c r="P21" s="1312">
        <v>-1229.99</v>
      </c>
      <c r="Q21" s="322"/>
      <c r="S21" s="2020" t="s">
        <v>163</v>
      </c>
      <c r="T21" s="2020" t="s">
        <v>160</v>
      </c>
      <c r="U21" s="2020" t="s">
        <v>1061</v>
      </c>
    </row>
    <row r="22" spans="2:21" x14ac:dyDescent="0.2">
      <c r="B22" s="346"/>
      <c r="C22" s="309"/>
      <c r="D22" s="1021" t="s">
        <v>1365</v>
      </c>
      <c r="E22" s="321"/>
      <c r="F22" s="321"/>
      <c r="G22" s="321"/>
      <c r="H22" s="321"/>
      <c r="I22" s="321"/>
      <c r="J22" s="322"/>
      <c r="K22" s="322"/>
      <c r="L22" s="322"/>
      <c r="M22" s="322"/>
      <c r="N22" s="322"/>
      <c r="O22" s="322"/>
      <c r="P22" s="1312">
        <v>-363</v>
      </c>
      <c r="Q22" s="322"/>
      <c r="S22" s="1311" t="s">
        <v>1363</v>
      </c>
      <c r="T22" s="1311" t="s">
        <v>1364</v>
      </c>
      <c r="U22" s="2104">
        <v>-1229.99</v>
      </c>
    </row>
    <row r="23" spans="2:21" x14ac:dyDescent="0.2">
      <c r="B23" s="346"/>
      <c r="C23" s="309"/>
      <c r="D23" s="309" t="s">
        <v>1366</v>
      </c>
      <c r="E23" s="321"/>
      <c r="F23" s="321"/>
      <c r="G23" s="321"/>
      <c r="H23" s="321"/>
      <c r="I23" s="321"/>
      <c r="J23" s="322"/>
      <c r="K23" s="322"/>
      <c r="L23" s="322"/>
      <c r="M23" s="322"/>
      <c r="N23" s="322"/>
      <c r="O23" s="322"/>
      <c r="P23" s="322">
        <v>1593</v>
      </c>
      <c r="Q23" s="322"/>
      <c r="S23" s="1021" t="s">
        <v>146</v>
      </c>
      <c r="T23" s="1021" t="s">
        <v>1365</v>
      </c>
      <c r="U23" s="2104">
        <v>-363</v>
      </c>
    </row>
    <row r="24" spans="2:21" x14ac:dyDescent="0.2">
      <c r="B24" s="346"/>
      <c r="C24" s="309"/>
      <c r="D24" s="309"/>
      <c r="E24" s="321"/>
      <c r="F24" s="321"/>
      <c r="G24" s="321"/>
      <c r="H24" s="321"/>
      <c r="I24" s="321"/>
      <c r="J24" s="322"/>
      <c r="K24" s="322"/>
      <c r="L24" s="322"/>
      <c r="M24" s="322"/>
      <c r="N24" s="322"/>
      <c r="O24" s="322"/>
      <c r="P24" s="322"/>
      <c r="Q24" s="322"/>
      <c r="S24" s="309"/>
      <c r="T24" s="309"/>
      <c r="U24" s="2104">
        <f>SUM(U22:U23)</f>
        <v>-1592.99</v>
      </c>
    </row>
    <row r="25" spans="2:21" x14ac:dyDescent="0.2">
      <c r="B25" s="346"/>
      <c r="C25" s="309"/>
      <c r="D25" s="309"/>
      <c r="E25" s="321"/>
      <c r="F25" s="321"/>
      <c r="G25" s="321"/>
      <c r="H25" s="321"/>
      <c r="I25" s="321"/>
      <c r="J25" s="322"/>
      <c r="K25" s="322"/>
      <c r="L25" s="322"/>
      <c r="M25" s="322"/>
      <c r="N25" s="322"/>
      <c r="O25" s="322"/>
      <c r="P25" s="322"/>
      <c r="Q25" s="322"/>
    </row>
    <row r="26" spans="2:21" x14ac:dyDescent="0.2">
      <c r="B26" s="346"/>
      <c r="C26" s="309"/>
      <c r="D26" s="309"/>
      <c r="E26" s="321"/>
      <c r="F26" s="321"/>
      <c r="G26" s="321"/>
      <c r="H26" s="321"/>
      <c r="I26" s="321"/>
      <c r="J26" s="322"/>
      <c r="K26" s="322"/>
      <c r="L26" s="322"/>
      <c r="M26" s="322"/>
      <c r="N26" s="322"/>
      <c r="O26" s="322"/>
      <c r="P26" s="322"/>
      <c r="Q26" s="322"/>
    </row>
    <row r="27" spans="2:21" x14ac:dyDescent="0.2">
      <c r="B27" s="346"/>
      <c r="C27" s="309"/>
      <c r="D27" s="309"/>
      <c r="E27" s="321"/>
      <c r="F27" s="321"/>
      <c r="G27" s="321"/>
      <c r="H27" s="321"/>
      <c r="I27" s="321"/>
      <c r="J27" s="322"/>
      <c r="K27" s="322"/>
      <c r="L27" s="322"/>
      <c r="M27" s="322"/>
      <c r="N27" s="322"/>
      <c r="O27" s="322"/>
      <c r="P27" s="322"/>
      <c r="Q27" s="322"/>
    </row>
    <row r="28" spans="2:21" x14ac:dyDescent="0.2">
      <c r="B28" s="346"/>
      <c r="C28" s="309"/>
      <c r="D28" s="309"/>
      <c r="E28" s="321"/>
      <c r="F28" s="321"/>
      <c r="G28" s="321"/>
      <c r="H28" s="321"/>
      <c r="I28" s="321"/>
      <c r="J28" s="322"/>
      <c r="K28" s="322"/>
      <c r="L28" s="322"/>
      <c r="M28" s="322"/>
      <c r="N28" s="322"/>
      <c r="O28" s="322"/>
      <c r="P28" s="322"/>
      <c r="Q28" s="991">
        <v>-50</v>
      </c>
    </row>
    <row r="29" spans="2:21" ht="16" thickBot="1" x14ac:dyDescent="0.25">
      <c r="B29" s="326"/>
      <c r="C29" s="327"/>
      <c r="D29" s="327"/>
      <c r="E29" s="328">
        <f t="shared" ref="E29:Q29" si="0">SUM(E6:E28)</f>
        <v>946.3</v>
      </c>
      <c r="F29" s="328">
        <f t="shared" si="0"/>
        <v>-559.25</v>
      </c>
      <c r="G29" s="328">
        <f t="shared" si="0"/>
        <v>-387.04999999999995</v>
      </c>
      <c r="H29" s="328">
        <f t="shared" si="0"/>
        <v>49</v>
      </c>
      <c r="I29" s="824">
        <f t="shared" si="0"/>
        <v>0</v>
      </c>
      <c r="J29" s="825">
        <f t="shared" si="0"/>
        <v>-873.48</v>
      </c>
      <c r="K29" s="825">
        <f t="shared" si="0"/>
        <v>0</v>
      </c>
      <c r="L29" s="825">
        <f t="shared" ref="L29:P29" si="1">SUM(L6:L28)</f>
        <v>0</v>
      </c>
      <c r="M29" s="825">
        <f t="shared" si="1"/>
        <v>0</v>
      </c>
      <c r="N29" s="825">
        <f t="shared" si="1"/>
        <v>0</v>
      </c>
      <c r="O29" s="825">
        <f t="shared" si="1"/>
        <v>0</v>
      </c>
      <c r="P29" s="825">
        <f t="shared" si="1"/>
        <v>9.9999999999909051E-3</v>
      </c>
      <c r="Q29" s="971">
        <f t="shared" si="0"/>
        <v>-50</v>
      </c>
    </row>
    <row r="30" spans="2:21" ht="16" thickTop="1" x14ac:dyDescent="0.2"/>
  </sheetData>
  <sortState xmlns:xlrd2="http://schemas.microsoft.com/office/spreadsheetml/2017/richdata2" ref="A14:Q28">
    <sortCondition descending="1" ref="A14:A28"/>
  </sortState>
  <mergeCells count="5">
    <mergeCell ref="B2:Q2"/>
    <mergeCell ref="E5:G5"/>
    <mergeCell ref="B1:Q1"/>
    <mergeCell ref="G4:M4"/>
    <mergeCell ref="N4:P4"/>
  </mergeCells>
  <conditionalFormatting sqref="A1:B1">
    <cfRule type="cellIs" dxfId="12" priority="1" operator="equal">
      <formula>0</formula>
    </cfRule>
  </conditionalFormatting>
  <hyperlinks>
    <hyperlink ref="B1" location="Summary!A1" display="Summary!A1" xr:uid="{EFD60A0C-031A-449D-B758-42452525349B}"/>
    <hyperlink ref="Q29" location="Summary!T58" display="Summary!T58" xr:uid="{0307E406-0F20-40C3-ABD9-6DF7F9B18D66}"/>
  </hyperlinks>
  <printOptions horizontalCentered="1"/>
  <pageMargins left="0.70866141732283472" right="0.11811023622047245" top="0.74803149606299213" bottom="0.74803149606299213"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rgb="FF00FF00"/>
    <pageSetUpPr fitToPage="1"/>
  </sheetPr>
  <dimension ref="B1:J15"/>
  <sheetViews>
    <sheetView topLeftCell="B1" zoomScaleNormal="100" zoomScaleSheetLayoutView="100" workbookViewId="0">
      <pane ySplit="4" topLeftCell="A5" activePane="bottomLeft" state="frozen"/>
      <selection activeCell="B1" sqref="B1:J1"/>
      <selection pane="bottomLeft" activeCell="B1" sqref="B1:J1"/>
    </sheetView>
  </sheetViews>
  <sheetFormatPr baseColWidth="10" defaultColWidth="8.83203125" defaultRowHeight="15" x14ac:dyDescent="0.2"/>
  <cols>
    <col min="1" max="1" width="3.5" style="14" customWidth="1"/>
    <col min="2" max="2" width="42.33203125" style="14" customWidth="1"/>
    <col min="3" max="6" width="8.83203125" style="14" hidden="1" customWidth="1"/>
    <col min="7" max="7" width="8.83203125" style="14" customWidth="1"/>
    <col min="8" max="16384" width="8.83203125" style="14"/>
  </cols>
  <sheetData>
    <row r="1" spans="2:10" ht="24" x14ac:dyDescent="0.2">
      <c r="B1" s="2367" t="s">
        <v>725</v>
      </c>
      <c r="C1" s="2367"/>
      <c r="D1" s="2367"/>
      <c r="E1" s="2367"/>
      <c r="F1" s="2367"/>
      <c r="G1" s="2367"/>
      <c r="H1" s="2367"/>
      <c r="I1" s="2367"/>
      <c r="J1" s="2367"/>
    </row>
    <row r="2" spans="2:10" ht="16" x14ac:dyDescent="0.2">
      <c r="B2" s="2601" t="s">
        <v>49</v>
      </c>
      <c r="C2" s="2601"/>
      <c r="D2" s="2601"/>
      <c r="E2" s="2601"/>
      <c r="F2" s="2601"/>
      <c r="G2" s="2601"/>
      <c r="H2" s="2601"/>
      <c r="I2" s="2601"/>
      <c r="J2" s="2601"/>
    </row>
    <row r="3" spans="2:10" x14ac:dyDescent="0.2">
      <c r="B3" s="736"/>
      <c r="C3" s="2420" t="s">
        <v>481</v>
      </c>
      <c r="D3" s="2420"/>
      <c r="E3" s="2420"/>
      <c r="F3" s="2420"/>
      <c r="G3" s="2602" t="s">
        <v>481</v>
      </c>
      <c r="H3" s="2603"/>
      <c r="I3" s="2604"/>
      <c r="J3" s="1478" t="s">
        <v>519</v>
      </c>
    </row>
    <row r="4" spans="2:10" x14ac:dyDescent="0.2">
      <c r="B4" s="124"/>
      <c r="C4" s="1310">
        <v>2018</v>
      </c>
      <c r="D4" s="1310">
        <v>2019</v>
      </c>
      <c r="E4" s="1310">
        <v>2020</v>
      </c>
      <c r="F4" s="1310">
        <v>2021</v>
      </c>
      <c r="G4" s="1310">
        <v>2022</v>
      </c>
      <c r="H4" s="1310">
        <v>2023</v>
      </c>
      <c r="I4" s="1310">
        <v>2024</v>
      </c>
      <c r="J4" s="1310">
        <v>2025</v>
      </c>
    </row>
    <row r="5" spans="2:10" x14ac:dyDescent="0.2">
      <c r="B5" s="18" t="s">
        <v>723</v>
      </c>
      <c r="C5" s="910"/>
      <c r="D5" s="910"/>
      <c r="E5" s="910"/>
      <c r="F5" s="910"/>
      <c r="G5" s="910"/>
      <c r="H5" s="1093"/>
      <c r="I5" s="1093"/>
      <c r="J5" s="1093"/>
    </row>
    <row r="6" spans="2:10" x14ac:dyDescent="0.2">
      <c r="B6" s="886"/>
      <c r="C6" s="910" t="s">
        <v>1004</v>
      </c>
      <c r="D6" s="910"/>
      <c r="E6" s="910"/>
      <c r="F6" s="910"/>
      <c r="G6" s="910" t="s">
        <v>70</v>
      </c>
      <c r="H6" s="1093"/>
      <c r="I6" s="1093"/>
      <c r="J6" s="1093"/>
    </row>
    <row r="7" spans="2:10" x14ac:dyDescent="0.2">
      <c r="B7" s="18"/>
      <c r="C7" s="910"/>
      <c r="D7" s="910"/>
      <c r="E7" s="910"/>
      <c r="F7" s="910"/>
      <c r="G7" s="910"/>
      <c r="H7" s="1093"/>
      <c r="I7" s="1093"/>
      <c r="J7" s="1093"/>
    </row>
    <row r="8" spans="2:10" x14ac:dyDescent="0.2">
      <c r="B8" s="18"/>
      <c r="C8" s="910"/>
      <c r="D8" s="910"/>
      <c r="E8" s="910"/>
      <c r="F8" s="910"/>
      <c r="G8" s="910"/>
      <c r="H8" s="1093"/>
      <c r="I8" s="1093"/>
      <c r="J8" s="1093"/>
    </row>
    <row r="9" spans="2:10" x14ac:dyDescent="0.2">
      <c r="B9" s="18"/>
      <c r="C9" s="910"/>
      <c r="D9" s="910"/>
      <c r="E9" s="910"/>
      <c r="F9" s="910"/>
      <c r="G9" s="910"/>
      <c r="H9" s="1093"/>
      <c r="I9" s="1093"/>
      <c r="J9" s="980">
        <v>0</v>
      </c>
    </row>
    <row r="10" spans="2:10" ht="16" thickBot="1" x14ac:dyDescent="0.25">
      <c r="B10" s="286"/>
      <c r="C10" s="962">
        <f>SUM(C5:C9)</f>
        <v>0</v>
      </c>
      <c r="D10" s="962">
        <f t="shared" ref="D10:I10" si="0">SUM(D5:D9)</f>
        <v>0</v>
      </c>
      <c r="E10" s="962">
        <f t="shared" si="0"/>
        <v>0</v>
      </c>
      <c r="F10" s="962">
        <f t="shared" si="0"/>
        <v>0</v>
      </c>
      <c r="G10" s="962">
        <f t="shared" si="0"/>
        <v>0</v>
      </c>
      <c r="H10" s="1094">
        <f t="shared" si="0"/>
        <v>0</v>
      </c>
      <c r="I10" s="1094">
        <f t="shared" si="0"/>
        <v>0</v>
      </c>
      <c r="J10" s="969">
        <f>SUM(J5:J9)</f>
        <v>0</v>
      </c>
    </row>
    <row r="11" spans="2:10" ht="16" thickTop="1" x14ac:dyDescent="0.2">
      <c r="B11"/>
      <c r="C11"/>
      <c r="D11"/>
      <c r="E11"/>
      <c r="F11"/>
      <c r="G11"/>
      <c r="J11"/>
    </row>
    <row r="12" spans="2:10" x14ac:dyDescent="0.2">
      <c r="B12" s="2599" t="s">
        <v>979</v>
      </c>
      <c r="C12" s="2599"/>
      <c r="D12" s="2599"/>
      <c r="E12" s="2599"/>
      <c r="F12" s="2599"/>
      <c r="G12" s="2599"/>
      <c r="H12" s="2599"/>
      <c r="I12" s="2599"/>
      <c r="J12" s="2599"/>
    </row>
    <row r="13" spans="2:10" x14ac:dyDescent="0.2">
      <c r="B13" s="2599" t="s">
        <v>980</v>
      </c>
      <c r="C13" s="2599"/>
      <c r="D13" s="2599"/>
      <c r="E13" s="2599"/>
      <c r="F13" s="2599"/>
      <c r="G13" s="2599"/>
      <c r="H13" s="2599"/>
      <c r="I13" s="2599"/>
      <c r="J13" s="2599"/>
    </row>
    <row r="14" spans="2:10" x14ac:dyDescent="0.2">
      <c r="B14" s="2599" t="s">
        <v>987</v>
      </c>
      <c r="C14" s="2599"/>
      <c r="D14" s="2599"/>
      <c r="E14" s="2599"/>
      <c r="F14" s="2599"/>
      <c r="G14" s="2599"/>
      <c r="H14" s="2599"/>
      <c r="I14" s="2599"/>
      <c r="J14" s="2599"/>
    </row>
    <row r="15" spans="2:10" x14ac:dyDescent="0.2">
      <c r="B15" s="2600" t="s">
        <v>981</v>
      </c>
      <c r="C15" s="2600"/>
      <c r="D15" s="2600"/>
      <c r="E15" s="2600"/>
      <c r="F15" s="2600"/>
      <c r="G15" s="2600"/>
      <c r="H15" s="2600"/>
      <c r="I15" s="2600"/>
      <c r="J15" s="2600"/>
    </row>
  </sheetData>
  <mergeCells count="8">
    <mergeCell ref="B14:J14"/>
    <mergeCell ref="B15:J15"/>
    <mergeCell ref="B2:J2"/>
    <mergeCell ref="B1:J1"/>
    <mergeCell ref="B12:J12"/>
    <mergeCell ref="B13:J13"/>
    <mergeCell ref="C3:F3"/>
    <mergeCell ref="G3:I3"/>
  </mergeCells>
  <conditionalFormatting sqref="B1">
    <cfRule type="cellIs" dxfId="11" priority="1" operator="equal">
      <formula>0</formula>
    </cfRule>
  </conditionalFormatting>
  <hyperlinks>
    <hyperlink ref="B1" location="Summary!A1" display="Summary!A1" xr:uid="{4578F9F9-E85F-4AAB-A5FC-088A62565732}"/>
    <hyperlink ref="J10" location="Summary!T60" display="Summary!T60" xr:uid="{29F09152-8124-4AFC-8384-A7705D6B472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tabColor rgb="FF00FF00"/>
    <pageSetUpPr fitToPage="1"/>
  </sheetPr>
  <dimension ref="A1:J13"/>
  <sheetViews>
    <sheetView zoomScaleNormal="100" zoomScaleSheetLayoutView="100" workbookViewId="0">
      <pane xSplit="2" ySplit="3" topLeftCell="C4" activePane="bottomRight" state="frozen"/>
      <selection activeCell="B1" sqref="B1:J1"/>
      <selection pane="topRight" activeCell="B1" sqref="B1:J1"/>
      <selection pane="bottomLeft" activeCell="B1" sqref="B1:J1"/>
      <selection pane="bottomRight" activeCell="B1" sqref="B1:J1"/>
    </sheetView>
  </sheetViews>
  <sheetFormatPr baseColWidth="10" defaultColWidth="8.83203125" defaultRowHeight="15" x14ac:dyDescent="0.2"/>
  <cols>
    <col min="1" max="1" width="3.1640625" style="14" customWidth="1"/>
    <col min="2" max="2" width="21.1640625" style="14" bestFit="1" customWidth="1"/>
    <col min="3" max="6" width="5" style="14" hidden="1" customWidth="1"/>
    <col min="7" max="10" width="9.5" style="14" customWidth="1"/>
    <col min="11" max="16384" width="8.83203125" style="14"/>
  </cols>
  <sheetData>
    <row r="1" spans="1:10" s="1909" customFormat="1" ht="24" x14ac:dyDescent="0.2">
      <c r="A1" s="1912"/>
      <c r="B1" s="2289" t="s">
        <v>725</v>
      </c>
      <c r="C1" s="2289"/>
      <c r="D1" s="2289"/>
      <c r="E1" s="2289"/>
      <c r="F1" s="2289"/>
      <c r="G1" s="2289"/>
      <c r="H1" s="2289"/>
      <c r="I1" s="2289"/>
      <c r="J1" s="2289"/>
    </row>
    <row r="2" spans="1:10" ht="16" x14ac:dyDescent="0.2">
      <c r="B2" s="2443" t="s">
        <v>50</v>
      </c>
      <c r="C2" s="2443"/>
      <c r="D2" s="2443"/>
      <c r="E2" s="2443"/>
      <c r="F2" s="2443"/>
      <c r="G2" s="2443"/>
      <c r="H2" s="2443"/>
      <c r="I2" s="2443"/>
      <c r="J2" s="2443"/>
    </row>
    <row r="3" spans="1:10" x14ac:dyDescent="0.2">
      <c r="B3" s="18"/>
      <c r="C3" s="1313" t="s">
        <v>481</v>
      </c>
      <c r="D3" s="1313"/>
      <c r="E3" s="1313"/>
      <c r="F3" s="1313"/>
      <c r="G3" s="2420" t="s">
        <v>481</v>
      </c>
      <c r="H3" s="2420"/>
      <c r="I3" s="2420"/>
      <c r="J3" s="1478" t="s">
        <v>519</v>
      </c>
    </row>
    <row r="4" spans="1:10" x14ac:dyDescent="0.2">
      <c r="B4" s="18"/>
      <c r="C4" s="845">
        <v>2018</v>
      </c>
      <c r="D4" s="845">
        <v>2019</v>
      </c>
      <c r="E4" s="845">
        <v>2020</v>
      </c>
      <c r="F4" s="845">
        <v>2021</v>
      </c>
      <c r="G4" s="845">
        <v>2022</v>
      </c>
      <c r="H4" s="845">
        <v>2023</v>
      </c>
      <c r="I4" s="845">
        <v>2024</v>
      </c>
      <c r="J4" s="845">
        <v>2025</v>
      </c>
    </row>
    <row r="5" spans="1:10" x14ac:dyDescent="0.2">
      <c r="B5" s="18" t="s">
        <v>691</v>
      </c>
      <c r="C5" s="910"/>
      <c r="D5" s="910"/>
      <c r="E5" s="910"/>
      <c r="F5" s="910"/>
      <c r="G5" s="910"/>
      <c r="H5" s="1093"/>
      <c r="I5" s="1093"/>
      <c r="J5" s="1093"/>
    </row>
    <row r="6" spans="1:10" x14ac:dyDescent="0.2">
      <c r="B6" s="18"/>
      <c r="C6" s="910"/>
      <c r="D6" s="910"/>
      <c r="E6" s="910"/>
      <c r="F6" s="910"/>
      <c r="G6" s="910"/>
      <c r="H6" s="1093"/>
      <c r="I6" s="1093"/>
      <c r="J6" s="1093"/>
    </row>
    <row r="7" spans="1:10" x14ac:dyDescent="0.2">
      <c r="B7" s="18"/>
      <c r="C7" s="910"/>
      <c r="D7" s="910"/>
      <c r="E7" s="910"/>
      <c r="F7" s="910"/>
      <c r="G7" s="910"/>
      <c r="H7" s="1093"/>
      <c r="I7" s="1093"/>
      <c r="J7" s="1093"/>
    </row>
    <row r="8" spans="1:10" x14ac:dyDescent="0.2">
      <c r="B8" s="18"/>
      <c r="C8" s="910"/>
      <c r="D8" s="910"/>
      <c r="E8" s="910"/>
      <c r="F8" s="910"/>
      <c r="G8" s="910"/>
      <c r="H8" s="1093"/>
      <c r="I8" s="1093"/>
      <c r="J8" s="1093"/>
    </row>
    <row r="9" spans="1:10" x14ac:dyDescent="0.2">
      <c r="B9" s="18"/>
      <c r="C9" s="910"/>
      <c r="D9" s="910"/>
      <c r="E9" s="910"/>
      <c r="F9" s="910"/>
      <c r="G9" s="910"/>
      <c r="H9" s="1093"/>
      <c r="I9" s="1093"/>
      <c r="J9" s="1093"/>
    </row>
    <row r="10" spans="1:10" x14ac:dyDescent="0.2">
      <c r="B10" s="18"/>
      <c r="C10" s="910"/>
      <c r="D10" s="910"/>
      <c r="E10" s="910"/>
      <c r="F10" s="910"/>
      <c r="G10" s="910"/>
      <c r="H10" s="1093"/>
      <c r="I10" s="1093"/>
      <c r="J10" s="1093"/>
    </row>
    <row r="11" spans="1:10" x14ac:dyDescent="0.2">
      <c r="B11" s="18"/>
      <c r="C11" s="910"/>
      <c r="D11" s="910"/>
      <c r="E11" s="910"/>
      <c r="F11" s="910"/>
      <c r="G11" s="910"/>
      <c r="H11" s="1093"/>
      <c r="I11" s="1093"/>
      <c r="J11" s="980">
        <v>0</v>
      </c>
    </row>
    <row r="12" spans="1:10" ht="16" thickBot="1" x14ac:dyDescent="0.25">
      <c r="B12" s="286"/>
      <c r="C12" s="1614">
        <f>SUM(C5:C11)</f>
        <v>0</v>
      </c>
      <c r="D12" s="1614">
        <f t="shared" ref="D12:I12" si="0">SUM(D5:D11)</f>
        <v>0</v>
      </c>
      <c r="E12" s="1614">
        <f t="shared" si="0"/>
        <v>0</v>
      </c>
      <c r="F12" s="1614">
        <f t="shared" si="0"/>
        <v>0</v>
      </c>
      <c r="G12" s="1614">
        <f t="shared" si="0"/>
        <v>0</v>
      </c>
      <c r="H12" s="1617">
        <f t="shared" si="0"/>
        <v>0</v>
      </c>
      <c r="I12" s="1617">
        <f t="shared" si="0"/>
        <v>0</v>
      </c>
      <c r="J12" s="969">
        <f>SUM(J5:J11)</f>
        <v>0</v>
      </c>
    </row>
    <row r="13" spans="1:10" ht="16" thickTop="1" x14ac:dyDescent="0.2"/>
  </sheetData>
  <mergeCells count="3">
    <mergeCell ref="G3:I3"/>
    <mergeCell ref="B1:J1"/>
    <mergeCell ref="B2:J2"/>
  </mergeCells>
  <conditionalFormatting sqref="A1:B1">
    <cfRule type="cellIs" dxfId="10" priority="1" operator="equal">
      <formula>0</formula>
    </cfRule>
  </conditionalFormatting>
  <hyperlinks>
    <hyperlink ref="J12" location="Summary!T63" display="Summary!T63" xr:uid="{D0F7B6F2-8168-433A-92B6-2ECB2CBBDDC2}"/>
    <hyperlink ref="B1" location="Summary!A1" display="Summary!A1" xr:uid="{43FDE753-D45C-46D9-BF9F-FFA4B847313D}"/>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1B47-B2DC-44E7-8B2B-9A4C71EEF7AA}">
  <sheetPr codeName="Sheet44">
    <tabColor rgb="FF00FF00"/>
    <pageSetUpPr fitToPage="1"/>
  </sheetPr>
  <dimension ref="B1:J11"/>
  <sheetViews>
    <sheetView zoomScaleNormal="100" zoomScaleSheetLayoutView="100" workbookViewId="0">
      <pane xSplit="2" ySplit="3" topLeftCell="C4" activePane="bottomRight" state="frozen"/>
      <selection activeCell="B1" sqref="B1:J1"/>
      <selection pane="topRight" activeCell="B1" sqref="B1:J1"/>
      <selection pane="bottomLeft" activeCell="B1" sqref="B1:J1"/>
      <selection pane="bottomRight" activeCell="B1" sqref="B1:J1"/>
    </sheetView>
  </sheetViews>
  <sheetFormatPr baseColWidth="10" defaultColWidth="8.83203125" defaultRowHeight="15" x14ac:dyDescent="0.2"/>
  <cols>
    <col min="1" max="1" width="4.1640625" style="14" customWidth="1"/>
    <col min="2" max="2" width="35.1640625" style="14" bestFit="1" customWidth="1"/>
    <col min="3" max="3" width="6.33203125" style="14" hidden="1" customWidth="1"/>
    <col min="4" max="4" width="7.83203125" style="14" hidden="1" customWidth="1"/>
    <col min="5" max="6" width="6.6640625" style="14" hidden="1" customWidth="1"/>
    <col min="7" max="9" width="7.5" style="14" bestFit="1" customWidth="1"/>
    <col min="10" max="10" width="7.83203125" style="14" bestFit="1" customWidth="1"/>
    <col min="11" max="16384" width="8.83203125" style="14"/>
  </cols>
  <sheetData>
    <row r="1" spans="2:10" s="1909" customFormat="1" ht="24" x14ac:dyDescent="0.2">
      <c r="B1" s="2289" t="s">
        <v>725</v>
      </c>
      <c r="C1" s="2289"/>
      <c r="D1" s="2289"/>
      <c r="E1" s="2289"/>
      <c r="F1" s="2289"/>
      <c r="G1" s="2289"/>
      <c r="H1" s="2289"/>
      <c r="I1" s="2289"/>
      <c r="J1" s="2289"/>
    </row>
    <row r="2" spans="2:10" ht="16" x14ac:dyDescent="0.2">
      <c r="B2" s="2605" t="s">
        <v>694</v>
      </c>
      <c r="C2" s="2605"/>
      <c r="D2" s="2605"/>
      <c r="E2" s="2605"/>
      <c r="F2" s="2605"/>
      <c r="G2" s="2605"/>
      <c r="H2" s="2605"/>
      <c r="I2" s="2605"/>
      <c r="J2" s="2605"/>
    </row>
    <row r="3" spans="2:10" s="2105" customFormat="1" x14ac:dyDescent="0.2">
      <c r="B3" s="356"/>
      <c r="C3" s="1314" t="s">
        <v>481</v>
      </c>
      <c r="D3" s="1314" t="s">
        <v>481</v>
      </c>
      <c r="E3" s="1314" t="s">
        <v>481</v>
      </c>
      <c r="F3" s="1314" t="s">
        <v>481</v>
      </c>
      <c r="G3" s="2602" t="s">
        <v>481</v>
      </c>
      <c r="H3" s="2603"/>
      <c r="I3" s="2604"/>
      <c r="J3" s="1478" t="s">
        <v>519</v>
      </c>
    </row>
    <row r="4" spans="2:10" x14ac:dyDescent="0.2">
      <c r="B4" s="18"/>
      <c r="C4" s="845">
        <v>2018</v>
      </c>
      <c r="D4" s="845">
        <v>2019</v>
      </c>
      <c r="E4" s="845">
        <v>2020</v>
      </c>
      <c r="F4" s="845">
        <v>2021</v>
      </c>
      <c r="G4" s="845">
        <v>2022</v>
      </c>
      <c r="H4" s="845">
        <v>2023</v>
      </c>
      <c r="I4" s="845">
        <v>2024</v>
      </c>
      <c r="J4" s="845">
        <v>2025</v>
      </c>
    </row>
    <row r="5" spans="2:10" x14ac:dyDescent="0.2">
      <c r="B5" s="18" t="s">
        <v>703</v>
      </c>
      <c r="C5" s="960"/>
      <c r="D5" s="947">
        <v>-8815</v>
      </c>
      <c r="E5" s="947">
        <v>0</v>
      </c>
      <c r="F5" s="947">
        <v>0</v>
      </c>
      <c r="G5" s="947">
        <v>0</v>
      </c>
      <c r="H5" s="947">
        <v>0</v>
      </c>
      <c r="I5" s="947">
        <v>0</v>
      </c>
      <c r="J5" s="817"/>
    </row>
    <row r="6" spans="2:10" x14ac:dyDescent="0.2">
      <c r="B6" s="18" t="s">
        <v>219</v>
      </c>
      <c r="C6" s="960"/>
      <c r="D6" s="947"/>
      <c r="E6" s="947"/>
      <c r="F6" s="947"/>
      <c r="G6" s="947"/>
      <c r="H6" s="947"/>
      <c r="I6" s="948"/>
      <c r="J6" s="817"/>
    </row>
    <row r="7" spans="2:10" x14ac:dyDescent="0.2">
      <c r="B7" s="18" t="s">
        <v>222</v>
      </c>
      <c r="C7" s="960"/>
      <c r="D7" s="947"/>
      <c r="E7" s="947"/>
      <c r="F7" s="947"/>
      <c r="G7" s="947"/>
      <c r="H7" s="947"/>
      <c r="I7" s="948"/>
      <c r="J7" s="817"/>
    </row>
    <row r="8" spans="2:10" x14ac:dyDescent="0.2">
      <c r="B8" s="18"/>
      <c r="C8" s="960"/>
      <c r="D8" s="948"/>
      <c r="E8" s="948"/>
      <c r="F8" s="948"/>
      <c r="G8" s="948"/>
      <c r="H8" s="948"/>
      <c r="I8" s="948"/>
      <c r="J8" s="817"/>
    </row>
    <row r="9" spans="2:10" x14ac:dyDescent="0.2">
      <c r="B9" s="18"/>
      <c r="C9" s="960"/>
      <c r="D9" s="948"/>
      <c r="E9" s="948"/>
      <c r="F9" s="948"/>
      <c r="G9" s="948"/>
      <c r="H9" s="948"/>
      <c r="I9" s="948"/>
      <c r="J9" s="1151">
        <v>0</v>
      </c>
    </row>
    <row r="10" spans="2:10" ht="16" thickBot="1" x14ac:dyDescent="0.25">
      <c r="B10" s="286"/>
      <c r="C10" s="921">
        <f t="shared" ref="C10:J10" si="0">SUM(C5:C9)</f>
        <v>0</v>
      </c>
      <c r="D10" s="921">
        <f t="shared" si="0"/>
        <v>-8815</v>
      </c>
      <c r="E10" s="921">
        <f t="shared" si="0"/>
        <v>0</v>
      </c>
      <c r="F10" s="921">
        <f t="shared" si="0"/>
        <v>0</v>
      </c>
      <c r="G10" s="921">
        <f t="shared" si="0"/>
        <v>0</v>
      </c>
      <c r="H10" s="921">
        <f t="shared" si="0"/>
        <v>0</v>
      </c>
      <c r="I10" s="921">
        <f t="shared" si="0"/>
        <v>0</v>
      </c>
      <c r="J10" s="1442">
        <f t="shared" si="0"/>
        <v>0</v>
      </c>
    </row>
    <row r="11" spans="2:10" ht="16" thickTop="1" x14ac:dyDescent="0.2"/>
  </sheetData>
  <mergeCells count="3">
    <mergeCell ref="G3:I3"/>
    <mergeCell ref="B2:J2"/>
    <mergeCell ref="B1:J1"/>
  </mergeCells>
  <conditionalFormatting sqref="B1">
    <cfRule type="cellIs" dxfId="9" priority="1" operator="equal">
      <formula>0</formula>
    </cfRule>
  </conditionalFormatting>
  <hyperlinks>
    <hyperlink ref="B1" location="Summary!A1" display="Summary!A1" xr:uid="{B17F01F2-ED4B-406C-AB7F-49DC0111E13F}"/>
    <hyperlink ref="J10" location="Summary!T59" display="Summary!T59" xr:uid="{AB856A37-98B9-4561-83F8-271E2CD8373E}"/>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5">
    <tabColor rgb="FF00FF00"/>
    <pageSetUpPr fitToPage="1"/>
  </sheetPr>
  <dimension ref="B1:K11"/>
  <sheetViews>
    <sheetView zoomScaleNormal="100" zoomScaleSheetLayoutView="100" workbookViewId="0">
      <pane xSplit="2" ySplit="3" topLeftCell="C4" activePane="bottomRight" state="frozen"/>
      <selection activeCell="B1" sqref="B1:J1"/>
      <selection pane="topRight" activeCell="B1" sqref="B1:J1"/>
      <selection pane="bottomLeft" activeCell="B1" sqref="B1:J1"/>
      <selection pane="bottomRight" activeCell="B1" sqref="B1:J1"/>
    </sheetView>
  </sheetViews>
  <sheetFormatPr baseColWidth="10" defaultColWidth="8.83203125" defaultRowHeight="15" x14ac:dyDescent="0.2"/>
  <cols>
    <col min="1" max="1" width="7.5" style="14" customWidth="1"/>
    <col min="2" max="2" width="27.6640625" style="14" bestFit="1" customWidth="1"/>
    <col min="3" max="6" width="7.83203125" style="14" bestFit="1" customWidth="1"/>
    <col min="7" max="7" width="8.83203125" style="14"/>
    <col min="8" max="8" width="10.5" style="14" bestFit="1" customWidth="1"/>
    <col min="9" max="9" width="11.6640625" style="14" bestFit="1" customWidth="1"/>
    <col min="10" max="10" width="11.83203125" style="14" bestFit="1" customWidth="1"/>
    <col min="11" max="11" width="7.6640625" style="14" bestFit="1" customWidth="1"/>
    <col min="12" max="16384" width="8.83203125" style="14"/>
  </cols>
  <sheetData>
    <row r="1" spans="2:11" s="1909" customFormat="1" ht="24" x14ac:dyDescent="0.2">
      <c r="B1" s="2289" t="s">
        <v>725</v>
      </c>
      <c r="C1" s="2289"/>
      <c r="D1" s="2289"/>
      <c r="E1" s="2289"/>
      <c r="F1" s="2289"/>
      <c r="G1" s="1683"/>
    </row>
    <row r="2" spans="2:11" ht="16" x14ac:dyDescent="0.2">
      <c r="B2" s="2443" t="s">
        <v>1083</v>
      </c>
      <c r="C2" s="2443"/>
      <c r="D2" s="2443"/>
      <c r="E2" s="2443"/>
      <c r="F2" s="2443"/>
    </row>
    <row r="3" spans="2:11" x14ac:dyDescent="0.2">
      <c r="B3" s="18"/>
      <c r="C3" s="2420" t="s">
        <v>481</v>
      </c>
      <c r="D3" s="2420"/>
      <c r="E3" s="2420"/>
      <c r="F3" s="1482" t="s">
        <v>519</v>
      </c>
    </row>
    <row r="4" spans="2:11" x14ac:dyDescent="0.2">
      <c r="B4" s="18"/>
      <c r="C4" s="845">
        <v>2022</v>
      </c>
      <c r="D4" s="1097">
        <v>2023</v>
      </c>
      <c r="E4" s="845">
        <v>2024</v>
      </c>
      <c r="F4" s="1097">
        <v>2025</v>
      </c>
    </row>
    <row r="5" spans="2:11" x14ac:dyDescent="0.2">
      <c r="B5" s="18" t="s">
        <v>1450</v>
      </c>
      <c r="C5" s="910"/>
      <c r="D5" s="1093">
        <v>-13</v>
      </c>
      <c r="E5" s="1093">
        <v>-25.13</v>
      </c>
      <c r="F5" s="1093"/>
      <c r="H5" s="1217">
        <v>45349</v>
      </c>
      <c r="I5" s="331" t="s">
        <v>1367</v>
      </c>
      <c r="J5" s="331" t="s">
        <v>1083</v>
      </c>
      <c r="K5" s="2104">
        <v>-6.5</v>
      </c>
    </row>
    <row r="6" spans="2:11" x14ac:dyDescent="0.2">
      <c r="B6" s="18"/>
      <c r="C6" s="910"/>
      <c r="D6" s="1093"/>
      <c r="E6" s="1093"/>
      <c r="F6" s="1093"/>
      <c r="H6" s="1218">
        <v>45378</v>
      </c>
      <c r="I6" s="330" t="s">
        <v>1367</v>
      </c>
      <c r="J6" s="330" t="s">
        <v>1083</v>
      </c>
      <c r="K6" s="2104">
        <v>-8.6</v>
      </c>
    </row>
    <row r="7" spans="2:11" x14ac:dyDescent="0.2">
      <c r="B7" s="18"/>
      <c r="C7" s="910"/>
      <c r="D7" s="1093"/>
      <c r="E7" s="1093"/>
      <c r="F7" s="1093"/>
      <c r="H7" s="1217">
        <v>45470</v>
      </c>
      <c r="I7" s="331" t="s">
        <v>1367</v>
      </c>
      <c r="J7" s="331" t="s">
        <v>1368</v>
      </c>
      <c r="K7" s="2104">
        <v>-10.029999999999999</v>
      </c>
    </row>
    <row r="8" spans="2:11" x14ac:dyDescent="0.2">
      <c r="B8" s="18"/>
      <c r="C8" s="910"/>
      <c r="D8" s="1093"/>
      <c r="E8" s="1093"/>
      <c r="F8" s="1093"/>
      <c r="H8" s="331"/>
      <c r="I8" s="331"/>
      <c r="J8" s="331"/>
      <c r="K8" s="1299">
        <f>SUM(K5:K7)</f>
        <v>-25.13</v>
      </c>
    </row>
    <row r="9" spans="2:11" x14ac:dyDescent="0.2">
      <c r="B9" s="18"/>
      <c r="C9" s="910"/>
      <c r="D9" s="1093"/>
      <c r="E9" s="1093"/>
      <c r="F9" s="2106">
        <v>-30</v>
      </c>
    </row>
    <row r="10" spans="2:11" ht="16" thickBot="1" x14ac:dyDescent="0.25">
      <c r="B10" s="286"/>
      <c r="C10" s="1614">
        <f>SUM(C5:C9)</f>
        <v>0</v>
      </c>
      <c r="D10" s="1094">
        <f>SUM(D5:D9)</f>
        <v>-13</v>
      </c>
      <c r="E10" s="1094">
        <f>SUM(E5:E9)</f>
        <v>-25.13</v>
      </c>
      <c r="F10" s="969">
        <f>SUM(F5:F9)</f>
        <v>-30</v>
      </c>
    </row>
    <row r="11" spans="2:11" ht="16" thickTop="1" x14ac:dyDescent="0.2"/>
  </sheetData>
  <mergeCells count="3">
    <mergeCell ref="B1:F1"/>
    <mergeCell ref="C3:E3"/>
    <mergeCell ref="B2:F2"/>
  </mergeCells>
  <conditionalFormatting sqref="B1">
    <cfRule type="cellIs" dxfId="8" priority="1" operator="equal">
      <formula>0</formula>
    </cfRule>
  </conditionalFormatting>
  <hyperlinks>
    <hyperlink ref="B1" location="Summary!A1" display="Summary!A1" xr:uid="{BC7AA6C7-768E-462A-A4D2-FFBF447D89E7}"/>
    <hyperlink ref="F10" location="Summary!T64" display="Summary!T64" xr:uid="{718E76DF-C6FE-483D-81A6-CA19D298163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6">
    <tabColor rgb="FF00FF00"/>
    <pageSetUpPr fitToPage="1"/>
  </sheetPr>
  <dimension ref="B1:O58"/>
  <sheetViews>
    <sheetView zoomScaleNormal="100" zoomScaleSheetLayoutView="100" workbookViewId="0">
      <pane xSplit="6" ySplit="4" topLeftCell="G38" activePane="bottomRight" state="frozen"/>
      <selection activeCell="B1" sqref="B1:J1"/>
      <selection pane="topRight" activeCell="B1" sqref="B1:J1"/>
      <selection pane="bottomLeft" activeCell="B1" sqref="B1:J1"/>
      <selection pane="bottomRight" activeCell="B1" sqref="B1:J1"/>
    </sheetView>
  </sheetViews>
  <sheetFormatPr baseColWidth="10" defaultColWidth="8.83203125" defaultRowHeight="15" x14ac:dyDescent="0.2"/>
  <cols>
    <col min="1" max="1" width="4.5" style="2" customWidth="1"/>
    <col min="2" max="2" width="35.1640625" style="2" bestFit="1" customWidth="1"/>
    <col min="3" max="6" width="8.83203125" style="2" hidden="1" customWidth="1"/>
    <col min="7" max="8" width="8.83203125" style="2" bestFit="1" customWidth="1"/>
    <col min="9" max="9" width="8.83203125" style="2" customWidth="1"/>
    <col min="10" max="10" width="8.83203125" style="2" bestFit="1" customWidth="1"/>
    <col min="11" max="11" width="6.83203125" style="2" customWidth="1"/>
    <col min="12" max="12" width="10.5" style="2" bestFit="1" customWidth="1"/>
    <col min="13" max="13" width="31.33203125" style="2" bestFit="1" customWidth="1"/>
    <col min="14" max="14" width="29.83203125" style="2" bestFit="1" customWidth="1"/>
    <col min="15" max="15" width="7.5" style="2" bestFit="1" customWidth="1"/>
    <col min="16" max="16384" width="8.83203125" style="2"/>
  </cols>
  <sheetData>
    <row r="1" spans="2:10" s="1683" customFormat="1" ht="24" x14ac:dyDescent="0.2">
      <c r="B1" s="2289" t="s">
        <v>725</v>
      </c>
      <c r="C1" s="2289"/>
      <c r="D1" s="2289"/>
      <c r="E1" s="2289"/>
      <c r="F1" s="2289"/>
      <c r="G1" s="2289"/>
      <c r="H1" s="2289"/>
      <c r="I1" s="2289"/>
      <c r="J1" s="2289"/>
    </row>
    <row r="2" spans="2:10" ht="16" x14ac:dyDescent="0.2">
      <c r="B2" s="2413" t="s">
        <v>53</v>
      </c>
      <c r="C2" s="2413"/>
      <c r="D2" s="2413"/>
      <c r="E2" s="2413"/>
      <c r="F2" s="2413"/>
      <c r="G2" s="2413"/>
      <c r="H2" s="2413"/>
      <c r="I2" s="2413"/>
      <c r="J2" s="2413"/>
    </row>
    <row r="3" spans="2:10" x14ac:dyDescent="0.2">
      <c r="B3" s="73"/>
      <c r="C3" s="297" t="s">
        <v>481</v>
      </c>
      <c r="D3" s="297" t="s">
        <v>481</v>
      </c>
      <c r="E3" s="297" t="s">
        <v>481</v>
      </c>
      <c r="F3" s="297" t="s">
        <v>481</v>
      </c>
      <c r="G3" s="2323" t="s">
        <v>481</v>
      </c>
      <c r="H3" s="2323"/>
      <c r="I3" s="2323"/>
      <c r="J3" s="1473" t="s">
        <v>519</v>
      </c>
    </row>
    <row r="4" spans="2:10" x14ac:dyDescent="0.2">
      <c r="B4" s="73"/>
      <c r="C4" s="812">
        <v>2018</v>
      </c>
      <c r="D4" s="812">
        <v>2019</v>
      </c>
      <c r="E4" s="812">
        <v>2020</v>
      </c>
      <c r="F4" s="812">
        <v>2021</v>
      </c>
      <c r="G4" s="812">
        <v>2022</v>
      </c>
      <c r="H4" s="812">
        <v>2023</v>
      </c>
      <c r="I4" s="812">
        <v>2024</v>
      </c>
      <c r="J4" s="812">
        <v>2025</v>
      </c>
    </row>
    <row r="5" spans="2:10" ht="14.5" hidden="1" customHeight="1" x14ac:dyDescent="0.2">
      <c r="B5" s="12" t="s">
        <v>27</v>
      </c>
      <c r="C5" s="708"/>
      <c r="D5" s="708">
        <v>225</v>
      </c>
      <c r="E5" s="708"/>
      <c r="F5" s="708">
        <v>278</v>
      </c>
      <c r="G5" s="708"/>
      <c r="H5" s="708"/>
      <c r="I5" s="865"/>
      <c r="J5" s="708"/>
    </row>
    <row r="6" spans="2:10" ht="14.5" hidden="1" customHeight="1" x14ac:dyDescent="0.2">
      <c r="B6" s="473" t="s">
        <v>849</v>
      </c>
      <c r="C6" s="708"/>
      <c r="D6" s="963">
        <v>26.5</v>
      </c>
      <c r="E6" s="963"/>
      <c r="F6" s="963"/>
      <c r="G6" s="708"/>
      <c r="H6" s="708"/>
      <c r="I6" s="865"/>
      <c r="J6" s="708"/>
    </row>
    <row r="7" spans="2:10" ht="14.5" hidden="1" customHeight="1" x14ac:dyDescent="0.2">
      <c r="B7" s="12" t="s">
        <v>850</v>
      </c>
      <c r="C7" s="708"/>
      <c r="D7" s="708">
        <v>5</v>
      </c>
      <c r="E7" s="963"/>
      <c r="F7" s="963"/>
      <c r="G7" s="708"/>
      <c r="H7" s="708"/>
      <c r="I7" s="865"/>
      <c r="J7" s="708"/>
    </row>
    <row r="8" spans="2:10" ht="14.5" hidden="1" customHeight="1" x14ac:dyDescent="0.2">
      <c r="B8" s="473" t="s">
        <v>851</v>
      </c>
      <c r="C8" s="708"/>
      <c r="D8" s="963">
        <v>5</v>
      </c>
      <c r="E8" s="963"/>
      <c r="F8" s="963">
        <v>50</v>
      </c>
      <c r="G8" s="708"/>
      <c r="H8" s="708"/>
      <c r="I8" s="865"/>
      <c r="J8" s="708"/>
    </row>
    <row r="9" spans="2:10" ht="14.5" hidden="1" customHeight="1" x14ac:dyDescent="0.2">
      <c r="B9" s="473" t="s">
        <v>961</v>
      </c>
      <c r="C9" s="708"/>
      <c r="D9" s="963"/>
      <c r="E9" s="963"/>
      <c r="F9" s="963">
        <v>40</v>
      </c>
      <c r="G9" s="708"/>
      <c r="H9" s="708"/>
      <c r="I9" s="865"/>
      <c r="J9" s="708"/>
    </row>
    <row r="10" spans="2:10" ht="14.5" hidden="1" customHeight="1" x14ac:dyDescent="0.2">
      <c r="B10" s="12" t="s">
        <v>575</v>
      </c>
      <c r="C10" s="708"/>
      <c r="D10" s="708">
        <v>40</v>
      </c>
      <c r="E10" s="963">
        <v>20</v>
      </c>
      <c r="F10" s="963">
        <v>25</v>
      </c>
      <c r="G10" s="708"/>
      <c r="H10" s="708"/>
      <c r="I10" s="865"/>
      <c r="J10" s="708"/>
    </row>
    <row r="11" spans="2:10" ht="14.5" hidden="1" customHeight="1" x14ac:dyDescent="0.2">
      <c r="B11" s="12" t="s">
        <v>962</v>
      </c>
      <c r="C11" s="708"/>
      <c r="D11" s="708"/>
      <c r="E11" s="963"/>
      <c r="F11" s="963">
        <v>10</v>
      </c>
      <c r="G11" s="708"/>
      <c r="H11" s="708"/>
      <c r="I11" s="865"/>
      <c r="J11" s="708"/>
    </row>
    <row r="12" spans="2:10" ht="14.5" hidden="1" customHeight="1" x14ac:dyDescent="0.2">
      <c r="B12" s="12" t="s">
        <v>960</v>
      </c>
      <c r="C12" s="708"/>
      <c r="D12" s="708"/>
      <c r="E12" s="963"/>
      <c r="F12" s="963">
        <v>10</v>
      </c>
      <c r="G12" s="708"/>
      <c r="H12" s="708"/>
      <c r="I12" s="865"/>
      <c r="J12" s="708"/>
    </row>
    <row r="13" spans="2:10" ht="14.5" hidden="1" customHeight="1" x14ac:dyDescent="0.2">
      <c r="B13" s="12" t="s">
        <v>807</v>
      </c>
      <c r="C13" s="708">
        <v>175</v>
      </c>
      <c r="D13" s="708"/>
      <c r="E13" s="708"/>
      <c r="F13" s="708"/>
      <c r="G13" s="708"/>
      <c r="H13" s="708"/>
      <c r="I13" s="865"/>
      <c r="J13" s="708"/>
    </row>
    <row r="14" spans="2:10" x14ac:dyDescent="0.2">
      <c r="B14" s="12" t="s">
        <v>1048</v>
      </c>
      <c r="C14" s="708"/>
      <c r="D14" s="708"/>
      <c r="E14" s="708"/>
      <c r="F14" s="708"/>
      <c r="G14" s="708">
        <v>5</v>
      </c>
      <c r="H14" s="708"/>
      <c r="I14" s="865"/>
      <c r="J14" s="708"/>
    </row>
    <row r="15" spans="2:10" x14ac:dyDescent="0.2">
      <c r="B15" s="12" t="s">
        <v>1048</v>
      </c>
      <c r="C15" s="708"/>
      <c r="D15" s="708"/>
      <c r="E15" s="708"/>
      <c r="F15" s="708"/>
      <c r="G15" s="708">
        <v>40</v>
      </c>
      <c r="H15" s="708"/>
      <c r="I15" s="865"/>
      <c r="J15" s="708"/>
    </row>
    <row r="16" spans="2:10" x14ac:dyDescent="0.2">
      <c r="B16" s="12" t="s">
        <v>1048</v>
      </c>
      <c r="C16" s="708"/>
      <c r="D16" s="708"/>
      <c r="E16" s="708"/>
      <c r="F16" s="708"/>
      <c r="G16" s="708">
        <v>15</v>
      </c>
      <c r="H16" s="708"/>
      <c r="I16" s="865"/>
      <c r="J16" s="708"/>
    </row>
    <row r="17" spans="2:10" x14ac:dyDescent="0.2">
      <c r="B17" s="12" t="s">
        <v>1049</v>
      </c>
      <c r="C17" s="708"/>
      <c r="D17" s="708"/>
      <c r="E17" s="708"/>
      <c r="F17" s="708"/>
      <c r="G17" s="708">
        <v>4</v>
      </c>
      <c r="H17" s="708"/>
      <c r="I17" s="865"/>
      <c r="J17" s="708"/>
    </row>
    <row r="18" spans="2:10" x14ac:dyDescent="0.2">
      <c r="B18" s="12" t="s">
        <v>1050</v>
      </c>
      <c r="C18" s="708"/>
      <c r="D18" s="708"/>
      <c r="E18" s="708"/>
      <c r="F18" s="708"/>
      <c r="G18" s="708">
        <v>10</v>
      </c>
      <c r="H18" s="708"/>
      <c r="I18" s="865"/>
      <c r="J18" s="708"/>
    </row>
    <row r="19" spans="2:10" x14ac:dyDescent="0.2">
      <c r="B19" s="12" t="s">
        <v>1048</v>
      </c>
      <c r="C19" s="708"/>
      <c r="D19" s="708"/>
      <c r="E19" s="708"/>
      <c r="F19" s="708"/>
      <c r="G19" s="708">
        <v>5</v>
      </c>
      <c r="H19" s="708"/>
      <c r="I19" s="865"/>
      <c r="J19" s="708"/>
    </row>
    <row r="20" spans="2:10" x14ac:dyDescent="0.2">
      <c r="B20" s="12" t="s">
        <v>1025</v>
      </c>
      <c r="C20" s="708"/>
      <c r="D20" s="708"/>
      <c r="E20" s="708"/>
      <c r="F20" s="708"/>
      <c r="G20" s="708">
        <v>40</v>
      </c>
      <c r="H20" s="708"/>
      <c r="I20" s="865"/>
      <c r="J20" s="708"/>
    </row>
    <row r="21" spans="2:10" x14ac:dyDescent="0.2">
      <c r="B21" s="12" t="s">
        <v>1048</v>
      </c>
      <c r="C21" s="708"/>
      <c r="D21" s="708"/>
      <c r="E21" s="708"/>
      <c r="F21" s="708"/>
      <c r="G21" s="708">
        <v>5</v>
      </c>
      <c r="H21" s="708"/>
      <c r="I21" s="865"/>
      <c r="J21" s="708"/>
    </row>
    <row r="22" spans="2:10" x14ac:dyDescent="0.2">
      <c r="B22" s="12" t="s">
        <v>1051</v>
      </c>
      <c r="C22" s="708"/>
      <c r="D22" s="708"/>
      <c r="E22" s="708"/>
      <c r="F22" s="708"/>
      <c r="G22" s="708">
        <v>30</v>
      </c>
      <c r="H22" s="708"/>
      <c r="I22" s="865"/>
      <c r="J22" s="708"/>
    </row>
    <row r="23" spans="2:10" x14ac:dyDescent="0.2">
      <c r="B23" s="12" t="s">
        <v>1051</v>
      </c>
      <c r="C23" s="708"/>
      <c r="D23" s="708"/>
      <c r="E23" s="708"/>
      <c r="F23" s="708"/>
      <c r="G23" s="708">
        <v>25</v>
      </c>
      <c r="H23" s="708"/>
      <c r="I23" s="865"/>
      <c r="J23" s="708"/>
    </row>
    <row r="24" spans="2:10" x14ac:dyDescent="0.2">
      <c r="B24" s="12" t="s">
        <v>1051</v>
      </c>
      <c r="C24" s="708"/>
      <c r="D24" s="708"/>
      <c r="E24" s="708"/>
      <c r="F24" s="708"/>
      <c r="G24" s="708">
        <v>20</v>
      </c>
      <c r="H24" s="708"/>
      <c r="I24" s="865"/>
      <c r="J24" s="708"/>
    </row>
    <row r="25" spans="2:10" x14ac:dyDescent="0.2">
      <c r="B25" s="12" t="s">
        <v>1051</v>
      </c>
      <c r="C25" s="708"/>
      <c r="D25" s="708"/>
      <c r="E25" s="708"/>
      <c r="F25" s="708"/>
      <c r="G25" s="708">
        <v>436</v>
      </c>
      <c r="H25" s="708"/>
      <c r="I25" s="865"/>
      <c r="J25" s="708"/>
    </row>
    <row r="26" spans="2:10" x14ac:dyDescent="0.2">
      <c r="B26" s="12" t="s">
        <v>1064</v>
      </c>
      <c r="C26" s="708"/>
      <c r="D26" s="708"/>
      <c r="E26" s="708"/>
      <c r="F26" s="708"/>
      <c r="G26" s="708">
        <v>5</v>
      </c>
      <c r="H26" s="708"/>
      <c r="I26" s="865"/>
      <c r="J26" s="708"/>
    </row>
    <row r="27" spans="2:10" x14ac:dyDescent="0.2">
      <c r="B27" s="12" t="s">
        <v>1052</v>
      </c>
      <c r="C27" s="708"/>
      <c r="D27" s="708"/>
      <c r="E27" s="963"/>
      <c r="F27" s="963"/>
      <c r="G27" s="708">
        <v>10</v>
      </c>
      <c r="H27" s="708"/>
      <c r="I27" s="865"/>
      <c r="J27" s="708"/>
    </row>
    <row r="28" spans="2:10" x14ac:dyDescent="0.2">
      <c r="B28" s="12" t="s">
        <v>1053</v>
      </c>
      <c r="C28" s="708"/>
      <c r="D28" s="708"/>
      <c r="E28" s="963"/>
      <c r="F28" s="963"/>
      <c r="G28" s="708">
        <v>10</v>
      </c>
      <c r="H28" s="708"/>
      <c r="I28" s="865"/>
      <c r="J28" s="708"/>
    </row>
    <row r="29" spans="2:10" x14ac:dyDescent="0.2">
      <c r="B29" s="12" t="s">
        <v>1054</v>
      </c>
      <c r="C29" s="708"/>
      <c r="D29" s="708"/>
      <c r="E29" s="963"/>
      <c r="F29" s="963"/>
      <c r="G29" s="708">
        <v>10</v>
      </c>
      <c r="H29" s="708"/>
      <c r="I29" s="865"/>
      <c r="J29" s="708"/>
    </row>
    <row r="30" spans="2:10" x14ac:dyDescent="0.2">
      <c r="B30" s="12" t="s">
        <v>1067</v>
      </c>
      <c r="C30" s="708"/>
      <c r="D30" s="708"/>
      <c r="E30" s="963"/>
      <c r="F30" s="963"/>
      <c r="G30" s="708">
        <v>5</v>
      </c>
      <c r="H30" s="708"/>
      <c r="I30" s="865"/>
      <c r="J30" s="708"/>
    </row>
    <row r="31" spans="2:10" x14ac:dyDescent="0.2">
      <c r="B31" s="12" t="s">
        <v>1073</v>
      </c>
      <c r="C31" s="708"/>
      <c r="D31" s="708"/>
      <c r="E31" s="963"/>
      <c r="F31" s="963"/>
      <c r="G31" s="708">
        <v>304</v>
      </c>
      <c r="H31" s="708"/>
      <c r="I31" s="865"/>
      <c r="J31" s="708"/>
    </row>
    <row r="32" spans="2:10" x14ac:dyDescent="0.2">
      <c r="B32" s="331" t="s">
        <v>575</v>
      </c>
      <c r="C32" s="708"/>
      <c r="D32" s="708"/>
      <c r="E32" s="963"/>
      <c r="F32" s="963"/>
      <c r="G32" s="708"/>
      <c r="H32" s="708"/>
      <c r="I32" s="865"/>
      <c r="J32" s="708"/>
    </row>
    <row r="33" spans="2:15" x14ac:dyDescent="0.2">
      <c r="B33" s="330" t="s">
        <v>1369</v>
      </c>
      <c r="C33" s="708"/>
      <c r="D33" s="708"/>
      <c r="E33" s="963"/>
      <c r="F33" s="963"/>
      <c r="G33" s="708"/>
      <c r="H33" s="708"/>
      <c r="I33" s="865"/>
      <c r="J33" s="708"/>
    </row>
    <row r="34" spans="2:15" x14ac:dyDescent="0.2">
      <c r="B34" s="331" t="s">
        <v>1370</v>
      </c>
      <c r="C34" s="708"/>
      <c r="D34" s="708"/>
      <c r="E34" s="963"/>
      <c r="F34" s="963"/>
      <c r="G34" s="708"/>
      <c r="H34" s="708"/>
      <c r="I34" s="865"/>
      <c r="J34" s="708"/>
    </row>
    <row r="35" spans="2:15" x14ac:dyDescent="0.2">
      <c r="B35" s="330" t="s">
        <v>1371</v>
      </c>
      <c r="C35" s="708"/>
      <c r="D35" s="708"/>
      <c r="E35" s="963"/>
      <c r="F35" s="963"/>
      <c r="G35" s="708"/>
      <c r="H35" s="708"/>
      <c r="I35" s="865"/>
      <c r="J35" s="708"/>
    </row>
    <row r="36" spans="2:15" x14ac:dyDescent="0.2">
      <c r="B36" s="331" t="s">
        <v>575</v>
      </c>
      <c r="C36" s="708"/>
      <c r="D36" s="708"/>
      <c r="E36" s="963"/>
      <c r="F36" s="963"/>
      <c r="G36" s="708"/>
      <c r="H36" s="708"/>
      <c r="I36" s="1300">
        <v>15</v>
      </c>
      <c r="J36" s="708"/>
      <c r="L36" s="1217">
        <v>45379</v>
      </c>
      <c r="M36" s="331" t="s">
        <v>130</v>
      </c>
      <c r="N36" s="331" t="s">
        <v>575</v>
      </c>
      <c r="O36" s="1300">
        <v>15</v>
      </c>
    </row>
    <row r="37" spans="2:15" x14ac:dyDescent="0.2">
      <c r="B37" s="330" t="s">
        <v>1369</v>
      </c>
      <c r="C37" s="708"/>
      <c r="D37" s="708"/>
      <c r="E37" s="963"/>
      <c r="F37" s="963"/>
      <c r="G37" s="708"/>
      <c r="H37" s="708"/>
      <c r="I37" s="1300">
        <v>15</v>
      </c>
      <c r="J37" s="708"/>
      <c r="L37" s="1218">
        <v>45433</v>
      </c>
      <c r="M37" s="330" t="s">
        <v>864</v>
      </c>
      <c r="N37" s="330" t="s">
        <v>1369</v>
      </c>
      <c r="O37" s="1300">
        <v>15</v>
      </c>
    </row>
    <row r="38" spans="2:15" x14ac:dyDescent="0.2">
      <c r="B38" s="331" t="s">
        <v>1370</v>
      </c>
      <c r="C38" s="708"/>
      <c r="D38" s="708"/>
      <c r="E38" s="963"/>
      <c r="F38" s="963"/>
      <c r="G38" s="708"/>
      <c r="H38" s="708"/>
      <c r="I38" s="1300">
        <v>15</v>
      </c>
      <c r="J38" s="708"/>
      <c r="L38" s="1217">
        <v>45433</v>
      </c>
      <c r="M38" s="331" t="s">
        <v>146</v>
      </c>
      <c r="N38" s="331" t="s">
        <v>1370</v>
      </c>
      <c r="O38" s="1300">
        <v>15</v>
      </c>
    </row>
    <row r="39" spans="2:15" x14ac:dyDescent="0.2">
      <c r="B39" s="330" t="s">
        <v>1371</v>
      </c>
      <c r="C39" s="708"/>
      <c r="D39" s="708"/>
      <c r="E39" s="963"/>
      <c r="F39" s="963"/>
      <c r="G39" s="708"/>
      <c r="H39" s="708"/>
      <c r="I39" s="1300">
        <v>15.1</v>
      </c>
      <c r="J39" s="708"/>
      <c r="L39" s="1218">
        <v>45433</v>
      </c>
      <c r="M39" s="330" t="s">
        <v>865</v>
      </c>
      <c r="N39" s="330" t="s">
        <v>1371</v>
      </c>
      <c r="O39" s="1300">
        <v>15.1</v>
      </c>
    </row>
    <row r="40" spans="2:15" x14ac:dyDescent="0.2">
      <c r="B40" s="331" t="s">
        <v>575</v>
      </c>
      <c r="C40" s="708"/>
      <c r="D40" s="708"/>
      <c r="E40" s="963"/>
      <c r="F40" s="963"/>
      <c r="G40" s="708"/>
      <c r="H40" s="708"/>
      <c r="I40" s="1300">
        <v>50</v>
      </c>
      <c r="J40" s="708"/>
      <c r="L40" s="1217">
        <v>45433</v>
      </c>
      <c r="M40" s="331" t="s">
        <v>133</v>
      </c>
      <c r="N40" s="331" t="s">
        <v>575</v>
      </c>
      <c r="O40" s="1300">
        <v>50</v>
      </c>
    </row>
    <row r="41" spans="2:15" x14ac:dyDescent="0.2">
      <c r="B41" s="330" t="s">
        <v>1372</v>
      </c>
      <c r="C41" s="708"/>
      <c r="D41" s="708"/>
      <c r="E41" s="963"/>
      <c r="F41" s="963"/>
      <c r="G41" s="708"/>
      <c r="H41" s="708"/>
      <c r="I41" s="1300">
        <v>5</v>
      </c>
      <c r="J41" s="708"/>
      <c r="L41" s="1218">
        <v>45443</v>
      </c>
      <c r="M41" s="330" t="s">
        <v>117</v>
      </c>
      <c r="N41" s="330" t="s">
        <v>1372</v>
      </c>
      <c r="O41" s="1300">
        <v>5</v>
      </c>
    </row>
    <row r="42" spans="2:15" x14ac:dyDescent="0.2">
      <c r="B42" s="331" t="s">
        <v>1373</v>
      </c>
      <c r="C42" s="708"/>
      <c r="D42" s="708"/>
      <c r="E42" s="963"/>
      <c r="F42" s="963"/>
      <c r="G42" s="708"/>
      <c r="H42" s="708"/>
      <c r="I42" s="1300">
        <v>5</v>
      </c>
      <c r="J42" s="708"/>
      <c r="L42" s="1217">
        <v>45443</v>
      </c>
      <c r="M42" s="331" t="s">
        <v>1139</v>
      </c>
      <c r="N42" s="331" t="s">
        <v>1373</v>
      </c>
      <c r="O42" s="1300">
        <v>5</v>
      </c>
    </row>
    <row r="43" spans="2:15" x14ac:dyDescent="0.2">
      <c r="B43" s="330" t="s">
        <v>1374</v>
      </c>
      <c r="C43" s="708"/>
      <c r="D43" s="708"/>
      <c r="E43" s="963"/>
      <c r="F43" s="963"/>
      <c r="G43" s="708"/>
      <c r="H43" s="708"/>
      <c r="I43" s="1300">
        <v>20</v>
      </c>
      <c r="J43" s="708"/>
      <c r="L43" s="1218">
        <v>45471</v>
      </c>
      <c r="M43" s="330" t="s">
        <v>126</v>
      </c>
      <c r="N43" s="330" t="s">
        <v>1374</v>
      </c>
      <c r="O43" s="1300">
        <v>20</v>
      </c>
    </row>
    <row r="44" spans="2:15" x14ac:dyDescent="0.2">
      <c r="B44" s="331" t="s">
        <v>1375</v>
      </c>
      <c r="C44" s="708"/>
      <c r="D44" s="708"/>
      <c r="E44" s="963"/>
      <c r="F44" s="963"/>
      <c r="G44" s="708"/>
      <c r="H44" s="708"/>
      <c r="I44" s="1300">
        <v>2</v>
      </c>
      <c r="J44" s="708"/>
      <c r="L44" s="1217">
        <v>45495</v>
      </c>
      <c r="M44" s="331" t="s">
        <v>78</v>
      </c>
      <c r="N44" s="331" t="s">
        <v>1375</v>
      </c>
      <c r="O44" s="1300">
        <v>2</v>
      </c>
    </row>
    <row r="45" spans="2:15" x14ac:dyDescent="0.2">
      <c r="B45" s="330" t="s">
        <v>1376</v>
      </c>
      <c r="C45" s="708"/>
      <c r="D45" s="708"/>
      <c r="E45" s="963"/>
      <c r="F45" s="963"/>
      <c r="G45" s="708"/>
      <c r="H45" s="708"/>
      <c r="I45" s="1300">
        <v>25</v>
      </c>
      <c r="J45" s="708"/>
      <c r="L45" s="1218">
        <v>45549</v>
      </c>
      <c r="M45" s="330" t="s">
        <v>144</v>
      </c>
      <c r="N45" s="330" t="s">
        <v>1376</v>
      </c>
      <c r="O45" s="1300">
        <v>25</v>
      </c>
    </row>
    <row r="46" spans="2:15" x14ac:dyDescent="0.2">
      <c r="B46" s="331" t="s">
        <v>1377</v>
      </c>
      <c r="C46" s="708"/>
      <c r="D46" s="708"/>
      <c r="E46" s="963"/>
      <c r="F46" s="963"/>
      <c r="G46" s="708"/>
      <c r="H46" s="708"/>
      <c r="I46" s="1300">
        <v>42.7</v>
      </c>
      <c r="J46" s="708"/>
      <c r="L46" s="1217">
        <v>45550</v>
      </c>
      <c r="M46" s="331" t="s">
        <v>1170</v>
      </c>
      <c r="N46" s="331" t="s">
        <v>1377</v>
      </c>
      <c r="O46" s="1300">
        <v>42.7</v>
      </c>
    </row>
    <row r="47" spans="2:15" x14ac:dyDescent="0.2">
      <c r="B47" s="330" t="s">
        <v>1378</v>
      </c>
      <c r="C47" s="708"/>
      <c r="D47" s="708"/>
      <c r="E47" s="963"/>
      <c r="F47" s="963"/>
      <c r="G47" s="708"/>
      <c r="H47" s="708"/>
      <c r="I47" s="1300">
        <v>4</v>
      </c>
      <c r="J47" s="708"/>
      <c r="L47" s="1218">
        <v>45565</v>
      </c>
      <c r="M47" s="330" t="s">
        <v>103</v>
      </c>
      <c r="N47" s="330" t="s">
        <v>1378</v>
      </c>
      <c r="O47" s="1300">
        <v>4</v>
      </c>
    </row>
    <row r="48" spans="2:15" x14ac:dyDescent="0.2">
      <c r="B48" s="331" t="s">
        <v>575</v>
      </c>
      <c r="C48" s="708"/>
      <c r="D48" s="708"/>
      <c r="E48" s="963"/>
      <c r="F48" s="963"/>
      <c r="G48" s="708"/>
      <c r="H48" s="708"/>
      <c r="I48" s="1300">
        <v>3.29</v>
      </c>
      <c r="J48" s="708"/>
      <c r="L48" s="1217">
        <v>45586</v>
      </c>
      <c r="M48" s="331" t="s">
        <v>110</v>
      </c>
      <c r="N48" s="331" t="s">
        <v>575</v>
      </c>
      <c r="O48" s="1300">
        <v>3.29</v>
      </c>
    </row>
    <row r="49" spans="2:15" x14ac:dyDescent="0.2">
      <c r="B49" s="330" t="s">
        <v>1380</v>
      </c>
      <c r="C49" s="708"/>
      <c r="D49" s="708"/>
      <c r="E49" s="963"/>
      <c r="F49" s="963"/>
      <c r="G49" s="708"/>
      <c r="H49" s="708"/>
      <c r="I49" s="1300">
        <v>25</v>
      </c>
      <c r="J49" s="708"/>
      <c r="L49" s="1218">
        <v>45588</v>
      </c>
      <c r="M49" s="330" t="s">
        <v>1379</v>
      </c>
      <c r="N49" s="330" t="s">
        <v>1380</v>
      </c>
      <c r="O49" s="1300">
        <v>25</v>
      </c>
    </row>
    <row r="50" spans="2:15" x14ac:dyDescent="0.2">
      <c r="B50" s="331" t="s">
        <v>1381</v>
      </c>
      <c r="C50" s="708"/>
      <c r="D50" s="708"/>
      <c r="E50" s="963"/>
      <c r="F50" s="963"/>
      <c r="G50" s="708"/>
      <c r="H50" s="708"/>
      <c r="I50" s="1300">
        <v>25</v>
      </c>
      <c r="J50" s="708"/>
      <c r="L50" s="1217">
        <v>45612</v>
      </c>
      <c r="M50" s="331" t="s">
        <v>94</v>
      </c>
      <c r="N50" s="331" t="s">
        <v>1381</v>
      </c>
      <c r="O50" s="1300">
        <v>25</v>
      </c>
    </row>
    <row r="51" spans="2:15" x14ac:dyDescent="0.2">
      <c r="B51" s="330" t="s">
        <v>1203</v>
      </c>
      <c r="C51" s="708"/>
      <c r="D51" s="708"/>
      <c r="E51" s="963"/>
      <c r="F51" s="963"/>
      <c r="G51" s="708"/>
      <c r="H51" s="708"/>
      <c r="I51" s="1300">
        <v>420</v>
      </c>
      <c r="J51" s="708"/>
      <c r="L51" s="1218">
        <v>45632</v>
      </c>
      <c r="M51" s="330" t="s">
        <v>1382</v>
      </c>
      <c r="N51" s="330" t="s">
        <v>1203</v>
      </c>
      <c r="O51" s="1300">
        <v>420</v>
      </c>
    </row>
    <row r="52" spans="2:15" x14ac:dyDescent="0.2">
      <c r="B52" s="12"/>
      <c r="C52" s="708"/>
      <c r="D52" s="708"/>
      <c r="E52" s="963"/>
      <c r="F52" s="963"/>
      <c r="G52" s="708"/>
      <c r="H52" s="708"/>
      <c r="I52" s="865"/>
      <c r="J52" s="708"/>
      <c r="L52" s="12"/>
      <c r="M52" s="12"/>
      <c r="N52" s="12"/>
      <c r="O52" s="2103">
        <f>SUM(O36:O51)</f>
        <v>687.09</v>
      </c>
    </row>
    <row r="53" spans="2:15" x14ac:dyDescent="0.2">
      <c r="B53" s="12"/>
      <c r="C53" s="708"/>
      <c r="D53" s="708"/>
      <c r="E53" s="963"/>
      <c r="F53" s="963"/>
      <c r="G53" s="708"/>
      <c r="H53" s="708"/>
      <c r="I53" s="865"/>
      <c r="J53" s="708"/>
    </row>
    <row r="54" spans="2:15" x14ac:dyDescent="0.2">
      <c r="B54" s="12"/>
      <c r="C54" s="708"/>
      <c r="D54" s="708"/>
      <c r="E54" s="963"/>
      <c r="F54" s="963"/>
      <c r="G54" s="708"/>
      <c r="H54" s="708"/>
      <c r="I54" s="865"/>
      <c r="J54" s="708"/>
    </row>
    <row r="55" spans="2:15" x14ac:dyDescent="0.2">
      <c r="B55" s="12"/>
      <c r="C55" s="708"/>
      <c r="D55" s="708"/>
      <c r="E55" s="963"/>
      <c r="F55" s="963"/>
      <c r="G55" s="708"/>
      <c r="H55" s="708"/>
      <c r="I55" s="865"/>
      <c r="J55" s="708"/>
    </row>
    <row r="56" spans="2:15" x14ac:dyDescent="0.2">
      <c r="B56" s="12"/>
      <c r="C56" s="708"/>
      <c r="D56" s="708"/>
      <c r="E56" s="708"/>
      <c r="F56" s="708"/>
      <c r="G56" s="708"/>
      <c r="H56" s="708">
        <v>550</v>
      </c>
      <c r="I56" s="865"/>
      <c r="J56" s="984">
        <v>500</v>
      </c>
    </row>
    <row r="57" spans="2:15" ht="16" thickBot="1" x14ac:dyDescent="0.25">
      <c r="B57" s="24" t="s">
        <v>693</v>
      </c>
      <c r="C57" s="733">
        <f t="shared" ref="C57:J57" si="0">SUM(C5:C56)</f>
        <v>175</v>
      </c>
      <c r="D57" s="733">
        <f t="shared" si="0"/>
        <v>301.5</v>
      </c>
      <c r="E57" s="733">
        <f t="shared" si="0"/>
        <v>20</v>
      </c>
      <c r="F57" s="733">
        <f t="shared" si="0"/>
        <v>413</v>
      </c>
      <c r="G57" s="733">
        <f t="shared" si="0"/>
        <v>979</v>
      </c>
      <c r="H57" s="1074">
        <f t="shared" si="0"/>
        <v>550</v>
      </c>
      <c r="I57" s="1074">
        <f t="shared" si="0"/>
        <v>687.09</v>
      </c>
      <c r="J57" s="964">
        <f t="shared" si="0"/>
        <v>500</v>
      </c>
    </row>
    <row r="58" spans="2:15" ht="16" thickTop="1" x14ac:dyDescent="0.2"/>
  </sheetData>
  <mergeCells count="3">
    <mergeCell ref="B2:J2"/>
    <mergeCell ref="B1:J1"/>
    <mergeCell ref="G3:I3"/>
  </mergeCells>
  <conditionalFormatting sqref="B1">
    <cfRule type="cellIs" dxfId="7" priority="2" operator="equal">
      <formula>0</formula>
    </cfRule>
  </conditionalFormatting>
  <hyperlinks>
    <hyperlink ref="B1" location="Summary!A1" display="Summary!A1" xr:uid="{5BE23735-F5FA-4176-B92F-64B17DBD09BE}"/>
    <hyperlink ref="J57" location="Summary!T72" display="Summary!T72" xr:uid="{231AC272-23BD-4135-A8FB-4041FA9E97F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7">
    <tabColor rgb="FF00FF00"/>
    <pageSetUpPr fitToPage="1"/>
  </sheetPr>
  <dimension ref="B1:J9"/>
  <sheetViews>
    <sheetView zoomScaleNormal="100" zoomScaleSheetLayoutView="100" workbookViewId="0">
      <pane xSplit="2" ySplit="3" topLeftCell="C4" activePane="bottomRight" state="frozen"/>
      <selection activeCell="B1" sqref="B1:J1"/>
      <selection pane="topRight" activeCell="B1" sqref="B1:J1"/>
      <selection pane="bottomLeft" activeCell="B1" sqref="B1:J1"/>
      <selection pane="bottomRight" activeCell="B1" sqref="B1:J1"/>
    </sheetView>
  </sheetViews>
  <sheetFormatPr baseColWidth="10" defaultColWidth="8.83203125" defaultRowHeight="15" x14ac:dyDescent="0.2"/>
  <cols>
    <col min="1" max="1" width="3.1640625" style="14" customWidth="1"/>
    <col min="2" max="2" width="31.33203125" style="14" customWidth="1"/>
    <col min="3" max="6" width="8.5" style="14" hidden="1" customWidth="1"/>
    <col min="7" max="8" width="8.5" style="14" bestFit="1" customWidth="1"/>
    <col min="9" max="9" width="8.5" style="14" customWidth="1"/>
    <col min="10" max="10" width="8.5" style="14" bestFit="1" customWidth="1"/>
    <col min="11" max="16384" width="8.83203125" style="14"/>
  </cols>
  <sheetData>
    <row r="1" spans="2:10" s="1909" customFormat="1" ht="24" x14ac:dyDescent="0.2">
      <c r="B1" s="2289" t="s">
        <v>725</v>
      </c>
      <c r="C1" s="2289"/>
      <c r="D1" s="2289"/>
      <c r="E1" s="2289"/>
      <c r="F1" s="2289"/>
      <c r="G1" s="2289"/>
      <c r="H1" s="2289"/>
      <c r="I1" s="2289"/>
      <c r="J1" s="2289"/>
    </row>
    <row r="2" spans="2:10" ht="16" x14ac:dyDescent="0.2">
      <c r="B2" s="2601" t="s">
        <v>406</v>
      </c>
      <c r="C2" s="2601"/>
      <c r="D2" s="2601"/>
      <c r="E2" s="2601"/>
      <c r="F2" s="2601"/>
      <c r="G2" s="2601"/>
      <c r="H2" s="2601"/>
      <c r="I2" s="2601"/>
      <c r="J2" s="2601"/>
    </row>
    <row r="3" spans="2:10" x14ac:dyDescent="0.2">
      <c r="B3" s="356"/>
      <c r="C3" s="1313" t="s">
        <v>481</v>
      </c>
      <c r="D3" s="1313" t="s">
        <v>481</v>
      </c>
      <c r="E3" s="1313" t="s">
        <v>481</v>
      </c>
      <c r="F3" s="1313" t="s">
        <v>481</v>
      </c>
      <c r="G3" s="2602" t="s">
        <v>481</v>
      </c>
      <c r="H3" s="2603"/>
      <c r="I3" s="2604"/>
      <c r="J3" s="1478" t="s">
        <v>519</v>
      </c>
    </row>
    <row r="4" spans="2:10" x14ac:dyDescent="0.2">
      <c r="B4" s="18"/>
      <c r="C4" s="845">
        <v>2018</v>
      </c>
      <c r="D4" s="845">
        <v>2019</v>
      </c>
      <c r="E4" s="1097">
        <v>2020</v>
      </c>
      <c r="F4" s="1097">
        <v>2021</v>
      </c>
      <c r="G4" s="1292">
        <v>2022</v>
      </c>
      <c r="H4" s="1097">
        <v>2023</v>
      </c>
      <c r="I4" s="1292">
        <v>2024</v>
      </c>
      <c r="J4" s="845">
        <v>2025</v>
      </c>
    </row>
    <row r="5" spans="2:10" x14ac:dyDescent="0.2">
      <c r="B5" s="18" t="s">
        <v>1005</v>
      </c>
      <c r="C5" s="967"/>
      <c r="D5" s="967"/>
      <c r="E5" s="967"/>
      <c r="F5" s="967"/>
      <c r="G5" s="967"/>
      <c r="H5" s="967"/>
      <c r="I5" s="967"/>
      <c r="J5" s="1100"/>
    </row>
    <row r="6" spans="2:10" x14ac:dyDescent="0.2">
      <c r="B6" s="18"/>
      <c r="C6" s="967"/>
      <c r="D6" s="967"/>
      <c r="E6" s="967"/>
      <c r="F6" s="967"/>
      <c r="G6" s="967"/>
      <c r="H6" s="967"/>
      <c r="I6" s="967"/>
      <c r="J6" s="1100"/>
    </row>
    <row r="7" spans="2:10" x14ac:dyDescent="0.2">
      <c r="B7" s="18"/>
      <c r="C7" s="967"/>
      <c r="D7" s="967"/>
      <c r="E7" s="967"/>
      <c r="F7" s="967"/>
      <c r="G7" s="967"/>
      <c r="H7" s="967"/>
      <c r="I7" s="967">
        <v>0</v>
      </c>
      <c r="J7" s="1427">
        <v>0</v>
      </c>
    </row>
    <row r="8" spans="2:10" ht="16" thickBot="1" x14ac:dyDescent="0.25">
      <c r="B8" s="286"/>
      <c r="C8" s="968">
        <f t="shared" ref="C8:J8" si="0">SUM(C5:C7)</f>
        <v>0</v>
      </c>
      <c r="D8" s="968">
        <f t="shared" si="0"/>
        <v>0</v>
      </c>
      <c r="E8" s="968">
        <f t="shared" si="0"/>
        <v>0</v>
      </c>
      <c r="F8" s="968">
        <f t="shared" si="0"/>
        <v>0</v>
      </c>
      <c r="G8" s="968">
        <f t="shared" si="0"/>
        <v>0</v>
      </c>
      <c r="H8" s="968">
        <f t="shared" si="0"/>
        <v>0</v>
      </c>
      <c r="I8" s="968">
        <f t="shared" si="0"/>
        <v>0</v>
      </c>
      <c r="J8" s="969">
        <f t="shared" si="0"/>
        <v>0</v>
      </c>
    </row>
    <row r="9" spans="2:10" ht="16" thickTop="1" x14ac:dyDescent="0.2"/>
  </sheetData>
  <mergeCells count="3">
    <mergeCell ref="B2:J2"/>
    <mergeCell ref="B1:J1"/>
    <mergeCell ref="G3:I3"/>
  </mergeCells>
  <conditionalFormatting sqref="B1">
    <cfRule type="cellIs" dxfId="6" priority="1" operator="equal">
      <formula>0</formula>
    </cfRule>
  </conditionalFormatting>
  <hyperlinks>
    <hyperlink ref="B1" location="Summary!A1" display="Summary!A1" xr:uid="{283A7ACF-48A9-430E-B0B8-BD0A75F35846}"/>
    <hyperlink ref="J8" location="Summary!Q75" display="Summary!Q75" xr:uid="{94BD6E31-1219-4A03-A242-0D9133AF989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tabColor rgb="FF00FF00"/>
    <pageSetUpPr fitToPage="1"/>
  </sheetPr>
  <dimension ref="B1:J11"/>
  <sheetViews>
    <sheetView zoomScaleNormal="100" zoomScaleSheetLayoutView="100" workbookViewId="0">
      <pane xSplit="2" ySplit="3" topLeftCell="C4" activePane="bottomRight" state="frozen"/>
      <selection activeCell="B1" sqref="B1:J1"/>
      <selection pane="topRight" activeCell="B1" sqref="B1:J1"/>
      <selection pane="bottomLeft" activeCell="B1" sqref="B1:J1"/>
      <selection pane="bottomRight" activeCell="B1" sqref="B1:J1"/>
    </sheetView>
  </sheetViews>
  <sheetFormatPr baseColWidth="10" defaultColWidth="8.83203125" defaultRowHeight="15" x14ac:dyDescent="0.2"/>
  <cols>
    <col min="1" max="1" width="4" style="14" customWidth="1"/>
    <col min="2" max="2" width="11.83203125" style="14" bestFit="1" customWidth="1"/>
    <col min="3" max="5" width="7.83203125" style="14" hidden="1" customWidth="1"/>
    <col min="6" max="6" width="7.83203125" style="14" bestFit="1" customWidth="1"/>
    <col min="7" max="9" width="6.83203125" style="14" customWidth="1"/>
    <col min="10" max="10" width="7.83203125" style="14" bestFit="1" customWidth="1"/>
    <col min="11" max="16384" width="8.83203125" style="14"/>
  </cols>
  <sheetData>
    <row r="1" spans="2:10" s="1909" customFormat="1" ht="24" x14ac:dyDescent="0.2">
      <c r="B1" s="2289" t="s">
        <v>725</v>
      </c>
      <c r="C1" s="2289"/>
      <c r="D1" s="2289"/>
      <c r="E1" s="2289"/>
      <c r="F1" s="2289"/>
      <c r="G1" s="2289"/>
      <c r="H1" s="2289"/>
      <c r="I1" s="2289"/>
      <c r="J1" s="2289"/>
    </row>
    <row r="2" spans="2:10" ht="16" x14ac:dyDescent="0.2">
      <c r="B2" s="2443" t="s">
        <v>28</v>
      </c>
      <c r="C2" s="2443"/>
      <c r="D2" s="2443"/>
      <c r="E2" s="2443"/>
      <c r="F2" s="2443"/>
      <c r="G2" s="2443"/>
      <c r="H2" s="2443"/>
      <c r="I2" s="2443"/>
      <c r="J2" s="2443"/>
    </row>
    <row r="3" spans="2:10" x14ac:dyDescent="0.2">
      <c r="B3" s="18"/>
      <c r="C3" s="1313" t="s">
        <v>481</v>
      </c>
      <c r="D3" s="1313" t="s">
        <v>481</v>
      </c>
      <c r="E3" s="1313" t="s">
        <v>481</v>
      </c>
      <c r="F3" s="2420" t="s">
        <v>481</v>
      </c>
      <c r="G3" s="2420"/>
      <c r="H3" s="2420"/>
      <c r="I3" s="2420"/>
      <c r="J3" s="1478" t="s">
        <v>519</v>
      </c>
    </row>
    <row r="4" spans="2:10" x14ac:dyDescent="0.2">
      <c r="B4" s="18"/>
      <c r="C4" s="845">
        <v>2018</v>
      </c>
      <c r="D4" s="845">
        <v>2019</v>
      </c>
      <c r="E4" s="845">
        <v>2020</v>
      </c>
      <c r="F4" s="845">
        <v>2021</v>
      </c>
      <c r="G4" s="845">
        <v>2022</v>
      </c>
      <c r="H4" s="845">
        <v>2023</v>
      </c>
      <c r="I4" s="845">
        <v>2024</v>
      </c>
      <c r="J4" s="845">
        <v>2025</v>
      </c>
    </row>
    <row r="5" spans="2:10" x14ac:dyDescent="0.2">
      <c r="B5" s="18" t="s">
        <v>887</v>
      </c>
      <c r="C5" s="966">
        <v>0</v>
      </c>
      <c r="D5" s="966">
        <v>0</v>
      </c>
      <c r="E5" s="966">
        <v>0</v>
      </c>
      <c r="F5" s="966">
        <v>500</v>
      </c>
      <c r="G5" s="966"/>
      <c r="H5" s="966"/>
      <c r="I5" s="966"/>
      <c r="J5" s="966"/>
    </row>
    <row r="6" spans="2:10" x14ac:dyDescent="0.2">
      <c r="B6" s="18" t="s">
        <v>963</v>
      </c>
      <c r="C6" s="966">
        <v>0</v>
      </c>
      <c r="D6" s="966">
        <v>0</v>
      </c>
      <c r="E6" s="966">
        <v>0</v>
      </c>
      <c r="F6" s="966">
        <v>1000</v>
      </c>
      <c r="G6" s="966"/>
      <c r="H6" s="966"/>
      <c r="I6" s="966"/>
      <c r="J6" s="966"/>
    </row>
    <row r="7" spans="2:10" x14ac:dyDescent="0.2">
      <c r="B7" s="18"/>
      <c r="C7" s="966"/>
      <c r="D7" s="966"/>
      <c r="E7" s="966"/>
      <c r="F7" s="966"/>
      <c r="G7" s="966"/>
      <c r="H7" s="966"/>
      <c r="I7" s="966"/>
      <c r="J7" s="966"/>
    </row>
    <row r="8" spans="2:10" x14ac:dyDescent="0.2">
      <c r="B8" s="18"/>
      <c r="C8" s="966"/>
      <c r="D8" s="966"/>
      <c r="E8" s="966"/>
      <c r="F8" s="966"/>
      <c r="G8" s="966"/>
      <c r="H8" s="966"/>
      <c r="I8" s="966"/>
      <c r="J8" s="966"/>
    </row>
    <row r="9" spans="2:10" x14ac:dyDescent="0.2">
      <c r="B9" s="18"/>
      <c r="C9" s="966"/>
      <c r="D9" s="966"/>
      <c r="E9" s="966"/>
      <c r="F9" s="966"/>
      <c r="G9" s="966"/>
      <c r="H9" s="966"/>
      <c r="I9" s="966"/>
      <c r="J9" s="1428">
        <v>0</v>
      </c>
    </row>
    <row r="10" spans="2:10" ht="16" thickBot="1" x14ac:dyDescent="0.25">
      <c r="B10" s="286"/>
      <c r="C10" s="968">
        <f>SUM(C5:C9)</f>
        <v>0</v>
      </c>
      <c r="D10" s="968">
        <f t="shared" ref="D10:H10" si="0">SUM(D5:D9)</f>
        <v>0</v>
      </c>
      <c r="E10" s="968">
        <f t="shared" si="0"/>
        <v>0</v>
      </c>
      <c r="F10" s="968">
        <f t="shared" si="0"/>
        <v>1500</v>
      </c>
      <c r="G10" s="968">
        <f t="shared" si="0"/>
        <v>0</v>
      </c>
      <c r="H10" s="1094">
        <f t="shared" si="0"/>
        <v>0</v>
      </c>
      <c r="I10" s="1094"/>
      <c r="J10" s="969">
        <f>SUM(J5:J9)</f>
        <v>0</v>
      </c>
    </row>
    <row r="11" spans="2:10" ht="16" thickTop="1" x14ac:dyDescent="0.2"/>
  </sheetData>
  <mergeCells count="3">
    <mergeCell ref="B1:J1"/>
    <mergeCell ref="B2:J2"/>
    <mergeCell ref="F3:I3"/>
  </mergeCells>
  <conditionalFormatting sqref="B1">
    <cfRule type="cellIs" dxfId="5" priority="1" operator="equal">
      <formula>0</formula>
    </cfRule>
  </conditionalFormatting>
  <hyperlinks>
    <hyperlink ref="B1" location="Summary!A1" display="Summary!A1" xr:uid="{C3C42AA5-2A1E-4D5A-BE50-0B93E5F306A8}"/>
    <hyperlink ref="J10" location="Summary!T71" display="Summary!T71" xr:uid="{B1476971-73D8-432D-8185-3EA455B14C2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96D9-BFF5-452A-BFD2-44F296E3A44B}">
  <dimension ref="A1:R124"/>
  <sheetViews>
    <sheetView view="pageBreakPreview" topLeftCell="F1" zoomScaleNormal="100" zoomScaleSheetLayoutView="100" workbookViewId="0">
      <pane ySplit="8" topLeftCell="A9" activePane="bottomLeft" state="frozen"/>
      <selection pane="bottomLeft" activeCell="N73" sqref="N73"/>
    </sheetView>
  </sheetViews>
  <sheetFormatPr baseColWidth="10" defaultColWidth="15.6640625" defaultRowHeight="16" x14ac:dyDescent="0.2"/>
  <cols>
    <col min="1" max="1" width="4" style="1" bestFit="1" customWidth="1"/>
    <col min="2" max="2" width="15.5" style="1" bestFit="1" customWidth="1"/>
    <col min="3" max="3" width="7.1640625" style="1" bestFit="1" customWidth="1"/>
    <col min="4" max="4" width="8.33203125" style="1" customWidth="1"/>
    <col min="5" max="5" width="10" style="1" bestFit="1" customWidth="1"/>
    <col min="6" max="6" width="10" style="382" bestFit="1" customWidth="1"/>
    <col min="7" max="8" width="10" style="383" bestFit="1" customWidth="1"/>
    <col min="9" max="9" width="49.1640625" style="508" bestFit="1" customWidth="1"/>
    <col min="10" max="10" width="8.1640625" style="509" bestFit="1" customWidth="1"/>
    <col min="11" max="11" width="7.1640625" style="510" bestFit="1" customWidth="1"/>
    <col min="12" max="12" width="8.5" style="510" bestFit="1" customWidth="1"/>
    <col min="13" max="13" width="50.6640625" style="508" bestFit="1" customWidth="1"/>
    <col min="14" max="14" width="11.6640625" style="547" bestFit="1" customWidth="1"/>
    <col min="15" max="15" width="7.5" style="512" bestFit="1" customWidth="1"/>
    <col min="16" max="16" width="15.6640625" style="512"/>
    <col min="17" max="17" width="11.5" style="510" bestFit="1" customWidth="1"/>
    <col min="18" max="18" width="42.5" style="596" bestFit="1" customWidth="1"/>
    <col min="19" max="16384" width="15.6640625" style="1"/>
  </cols>
  <sheetData>
    <row r="1" spans="1:18" x14ac:dyDescent="0.2">
      <c r="A1" s="1">
        <v>1</v>
      </c>
      <c r="N1" s="511" t="s">
        <v>702</v>
      </c>
      <c r="Q1" s="510" t="s">
        <v>702</v>
      </c>
    </row>
    <row r="2" spans="1:18" ht="19" x14ac:dyDescent="0.2">
      <c r="A2" s="363">
        <v>2</v>
      </c>
      <c r="B2" s="425" t="s">
        <v>724</v>
      </c>
      <c r="C2" s="364"/>
      <c r="D2" s="2"/>
      <c r="E2" s="2"/>
      <c r="F2" s="365"/>
      <c r="G2" s="366"/>
      <c r="H2" s="366"/>
      <c r="I2" s="513"/>
      <c r="J2" s="510"/>
      <c r="M2" s="513"/>
      <c r="N2" s="511" t="s">
        <v>700</v>
      </c>
      <c r="Q2" s="510" t="s">
        <v>700</v>
      </c>
    </row>
    <row r="3" spans="1:18" x14ac:dyDescent="0.2">
      <c r="A3" s="1">
        <v>3</v>
      </c>
      <c r="C3" s="367"/>
      <c r="D3" s="367" t="s">
        <v>0</v>
      </c>
      <c r="E3" s="367"/>
      <c r="F3" s="367"/>
      <c r="G3" s="367"/>
      <c r="H3" s="367"/>
      <c r="I3" s="2243" t="s">
        <v>0</v>
      </c>
      <c r="J3" s="2243"/>
      <c r="K3" s="2243"/>
      <c r="L3" s="2243"/>
      <c r="M3" s="2243"/>
      <c r="N3" s="2243"/>
      <c r="O3" s="2243"/>
      <c r="P3" s="2243"/>
      <c r="Q3" s="2243"/>
      <c r="R3" s="2243"/>
    </row>
    <row r="4" spans="1:18" x14ac:dyDescent="0.2">
      <c r="A4" s="363">
        <v>4</v>
      </c>
      <c r="C4" s="367"/>
      <c r="D4" s="367" t="s">
        <v>699</v>
      </c>
      <c r="E4" s="367"/>
      <c r="F4" s="367"/>
      <c r="G4" s="367"/>
      <c r="H4" s="367"/>
      <c r="I4" s="2243" t="s">
        <v>738</v>
      </c>
      <c r="J4" s="2243"/>
      <c r="K4" s="2243"/>
      <c r="L4" s="2243"/>
      <c r="M4" s="2243"/>
      <c r="N4" s="2243"/>
      <c r="O4" s="2243"/>
      <c r="P4" s="2243"/>
      <c r="Q4" s="2243"/>
      <c r="R4" s="2243"/>
    </row>
    <row r="5" spans="1:18" x14ac:dyDescent="0.2">
      <c r="A5" s="1">
        <v>5</v>
      </c>
      <c r="C5" s="367"/>
      <c r="D5" s="367" t="s">
        <v>698</v>
      </c>
      <c r="E5" s="367"/>
      <c r="F5" s="367"/>
      <c r="G5" s="367"/>
      <c r="H5" s="367"/>
      <c r="I5" s="2243" t="s">
        <v>698</v>
      </c>
      <c r="J5" s="2243"/>
      <c r="K5" s="2243"/>
      <c r="L5" s="2243"/>
      <c r="M5" s="2243"/>
      <c r="N5" s="2243"/>
      <c r="O5" s="2243"/>
      <c r="P5" s="2243"/>
      <c r="Q5" s="2243"/>
      <c r="R5" s="2243"/>
    </row>
    <row r="6" spans="1:18" ht="15" x14ac:dyDescent="0.2">
      <c r="A6" s="363">
        <v>6</v>
      </c>
      <c r="C6" s="368"/>
      <c r="D6" s="368" t="s">
        <v>1</v>
      </c>
      <c r="E6" s="368"/>
      <c r="F6" s="368"/>
      <c r="G6" s="368"/>
      <c r="H6" s="368"/>
      <c r="I6" s="2254" t="s">
        <v>1</v>
      </c>
      <c r="J6" s="2254"/>
      <c r="K6" s="2254"/>
      <c r="L6" s="2254"/>
      <c r="M6" s="2254"/>
      <c r="N6" s="2254"/>
      <c r="O6" s="2254"/>
      <c r="P6" s="2254"/>
      <c r="Q6" s="2254"/>
      <c r="R6" s="2254"/>
    </row>
    <row r="7" spans="1:18" x14ac:dyDescent="0.2">
      <c r="A7" s="1">
        <v>7</v>
      </c>
      <c r="B7" s="170">
        <v>2010</v>
      </c>
      <c r="C7" s="170">
        <v>2011</v>
      </c>
      <c r="D7" s="170">
        <v>2012</v>
      </c>
      <c r="E7" s="170">
        <v>2013</v>
      </c>
      <c r="F7" s="170">
        <v>2014</v>
      </c>
      <c r="G7" s="170">
        <v>2015</v>
      </c>
      <c r="H7" s="170">
        <v>2016</v>
      </c>
      <c r="I7" s="514"/>
      <c r="J7" s="514">
        <v>2017</v>
      </c>
      <c r="K7" s="514">
        <v>2018</v>
      </c>
      <c r="L7" s="514">
        <v>2019</v>
      </c>
      <c r="M7" s="2260">
        <v>2019</v>
      </c>
      <c r="N7" s="2260"/>
      <c r="O7" s="515"/>
      <c r="Q7" s="516">
        <v>2019</v>
      </c>
      <c r="R7" s="597"/>
    </row>
    <row r="8" spans="1:18" ht="17" x14ac:dyDescent="0.2">
      <c r="A8" s="363">
        <v>8</v>
      </c>
      <c r="C8" s="369"/>
      <c r="D8" s="369" t="s">
        <v>481</v>
      </c>
      <c r="E8" s="369" t="s">
        <v>481</v>
      </c>
      <c r="F8" s="369" t="s">
        <v>481</v>
      </c>
      <c r="G8" s="369" t="s">
        <v>481</v>
      </c>
      <c r="H8" s="369" t="s">
        <v>481</v>
      </c>
      <c r="I8" s="517"/>
      <c r="J8" s="2258" t="s">
        <v>481</v>
      </c>
      <c r="K8" s="2259"/>
      <c r="L8" s="630"/>
      <c r="M8" s="2261" t="s">
        <v>519</v>
      </c>
      <c r="N8" s="2261"/>
      <c r="O8" s="515"/>
      <c r="Q8" s="620" t="s">
        <v>519</v>
      </c>
      <c r="R8" s="598"/>
    </row>
    <row r="9" spans="1:18" x14ac:dyDescent="0.2">
      <c r="A9" s="506"/>
      <c r="C9" s="507"/>
      <c r="D9" s="507"/>
      <c r="E9" s="507"/>
      <c r="F9" s="507"/>
      <c r="G9" s="507"/>
      <c r="H9" s="507"/>
      <c r="I9" s="2255" t="s">
        <v>730</v>
      </c>
      <c r="J9" s="2256"/>
      <c r="K9" s="2256"/>
      <c r="L9" s="2256"/>
      <c r="M9" s="2256"/>
      <c r="N9" s="2256"/>
      <c r="O9" s="2256"/>
      <c r="P9" s="2256"/>
      <c r="Q9" s="2256"/>
      <c r="R9" s="2257"/>
    </row>
    <row r="10" spans="1:18" x14ac:dyDescent="0.2">
      <c r="A10" s="1">
        <v>9</v>
      </c>
      <c r="C10" s="72"/>
      <c r="E10" s="72"/>
      <c r="F10" s="72"/>
      <c r="G10" s="72"/>
      <c r="I10" s="518" t="s">
        <v>2</v>
      </c>
      <c r="J10" s="519"/>
      <c r="K10" s="519"/>
      <c r="L10" s="519"/>
      <c r="M10" s="519"/>
      <c r="N10" s="519"/>
      <c r="O10" s="520"/>
      <c r="Q10" s="623"/>
      <c r="R10" s="599"/>
    </row>
    <row r="11" spans="1:18" x14ac:dyDescent="0.2">
      <c r="A11" s="363">
        <v>10</v>
      </c>
      <c r="B11" s="2252">
        <v>3935</v>
      </c>
      <c r="C11" s="2252">
        <v>4105</v>
      </c>
      <c r="D11" s="113">
        <v>4275</v>
      </c>
      <c r="E11" s="110">
        <v>3915</v>
      </c>
      <c r="F11" s="113">
        <v>3870</v>
      </c>
      <c r="G11" s="111">
        <v>4230</v>
      </c>
      <c r="H11" s="493">
        <v>4005</v>
      </c>
      <c r="I11" s="521" t="s">
        <v>5</v>
      </c>
      <c r="J11" s="522">
        <v>3442.5</v>
      </c>
      <c r="K11" s="523">
        <v>3330</v>
      </c>
      <c r="L11" s="523">
        <v>3195</v>
      </c>
      <c r="M11" s="521" t="s">
        <v>5</v>
      </c>
      <c r="N11" s="524">
        <v>3555</v>
      </c>
      <c r="O11" s="574">
        <v>3</v>
      </c>
      <c r="Q11" s="523">
        <f>+N11</f>
        <v>3555</v>
      </c>
      <c r="R11" s="600" t="s">
        <v>748</v>
      </c>
    </row>
    <row r="12" spans="1:18" x14ac:dyDescent="0.2">
      <c r="A12" s="1">
        <v>11</v>
      </c>
      <c r="B12" s="2253"/>
      <c r="C12" s="2253"/>
      <c r="D12" s="113">
        <v>95</v>
      </c>
      <c r="E12" s="110">
        <v>135</v>
      </c>
      <c r="F12" s="113">
        <v>110</v>
      </c>
      <c r="G12" s="111">
        <v>120</v>
      </c>
      <c r="H12" s="493">
        <v>145</v>
      </c>
      <c r="I12" s="525" t="s">
        <v>6</v>
      </c>
      <c r="J12" s="526">
        <v>155</v>
      </c>
      <c r="K12" s="527">
        <v>175</v>
      </c>
      <c r="L12" s="523">
        <v>150</v>
      </c>
      <c r="M12" s="525" t="s">
        <v>6</v>
      </c>
      <c r="N12" s="528">
        <v>165</v>
      </c>
      <c r="O12" s="515">
        <v>4</v>
      </c>
      <c r="Q12" s="527">
        <f t="shared" ref="Q12:Q75" si="0">+N12</f>
        <v>165</v>
      </c>
      <c r="R12" s="601"/>
    </row>
    <row r="13" spans="1:18" x14ac:dyDescent="0.2">
      <c r="A13" s="363">
        <v>12</v>
      </c>
      <c r="B13" s="110">
        <v>90</v>
      </c>
      <c r="C13" s="110">
        <v>195</v>
      </c>
      <c r="D13" s="110">
        <v>60</v>
      </c>
      <c r="E13" s="110">
        <v>90</v>
      </c>
      <c r="F13" s="110">
        <v>105</v>
      </c>
      <c r="G13" s="111">
        <v>180</v>
      </c>
      <c r="H13" s="493">
        <v>75</v>
      </c>
      <c r="I13" s="525" t="s">
        <v>7</v>
      </c>
      <c r="J13" s="526">
        <v>75</v>
      </c>
      <c r="K13" s="527">
        <v>90</v>
      </c>
      <c r="L13" s="523">
        <v>30</v>
      </c>
      <c r="M13" s="525" t="s">
        <v>7</v>
      </c>
      <c r="N13" s="528">
        <v>75</v>
      </c>
      <c r="O13" s="515">
        <v>5</v>
      </c>
      <c r="Q13" s="527">
        <f t="shared" si="0"/>
        <v>75</v>
      </c>
      <c r="R13" s="601"/>
    </row>
    <row r="14" spans="1:18" x14ac:dyDescent="0.2">
      <c r="A14" s="1">
        <v>13</v>
      </c>
      <c r="B14" s="110">
        <v>2520</v>
      </c>
      <c r="C14" s="110">
        <v>2582</v>
      </c>
      <c r="D14" s="110">
        <v>2679</v>
      </c>
      <c r="E14" s="110">
        <v>2739</v>
      </c>
      <c r="F14" s="110">
        <v>2599</v>
      </c>
      <c r="G14" s="111">
        <v>2877</v>
      </c>
      <c r="H14" s="493">
        <v>2712</v>
      </c>
      <c r="I14" s="525" t="s">
        <v>8</v>
      </c>
      <c r="J14" s="526">
        <v>2548</v>
      </c>
      <c r="K14" s="527">
        <v>2485</v>
      </c>
      <c r="L14" s="523">
        <v>1973.8</v>
      </c>
      <c r="M14" s="525" t="s">
        <v>8</v>
      </c>
      <c r="N14" s="528">
        <v>2345</v>
      </c>
      <c r="O14" s="515">
        <v>6</v>
      </c>
      <c r="Q14" s="527">
        <f t="shared" si="0"/>
        <v>2345</v>
      </c>
      <c r="R14" s="601" t="s">
        <v>733</v>
      </c>
    </row>
    <row r="15" spans="1:18" x14ac:dyDescent="0.2">
      <c r="A15" s="363">
        <v>14</v>
      </c>
      <c r="B15" s="110">
        <v>337</v>
      </c>
      <c r="C15" s="110">
        <v>357</v>
      </c>
      <c r="D15" s="110">
        <v>402</v>
      </c>
      <c r="E15" s="110">
        <v>183</v>
      </c>
      <c r="F15" s="110">
        <v>208</v>
      </c>
      <c r="G15" s="111">
        <v>134</v>
      </c>
      <c r="H15" s="493">
        <v>145</v>
      </c>
      <c r="I15" s="525" t="s">
        <v>9</v>
      </c>
      <c r="J15" s="526">
        <v>208.5</v>
      </c>
      <c r="K15" s="527">
        <v>144.30000000000001</v>
      </c>
      <c r="L15" s="523">
        <v>125</v>
      </c>
      <c r="M15" s="525" t="s">
        <v>9</v>
      </c>
      <c r="N15" s="528">
        <v>125</v>
      </c>
      <c r="O15" s="515">
        <v>7</v>
      </c>
      <c r="Q15" s="527">
        <f t="shared" si="0"/>
        <v>125</v>
      </c>
      <c r="R15" s="601"/>
    </row>
    <row r="16" spans="1:18" x14ac:dyDescent="0.2">
      <c r="A16" s="1">
        <v>15</v>
      </c>
      <c r="B16" s="110">
        <v>258</v>
      </c>
      <c r="C16" s="110">
        <v>265</v>
      </c>
      <c r="D16" s="110">
        <v>256</v>
      </c>
      <c r="E16" s="110">
        <v>111</v>
      </c>
      <c r="F16" s="110">
        <v>108</v>
      </c>
      <c r="G16" s="111">
        <v>184</v>
      </c>
      <c r="H16" s="493">
        <v>126</v>
      </c>
      <c r="I16" s="525" t="s">
        <v>11</v>
      </c>
      <c r="J16" s="526">
        <v>102</v>
      </c>
      <c r="K16" s="527">
        <v>0</v>
      </c>
      <c r="L16" s="523">
        <v>26</v>
      </c>
      <c r="M16" s="525" t="s">
        <v>11</v>
      </c>
      <c r="N16" s="528">
        <v>120</v>
      </c>
      <c r="O16" s="515">
        <v>8</v>
      </c>
      <c r="Q16" s="527">
        <f t="shared" si="0"/>
        <v>120</v>
      </c>
      <c r="R16" s="601" t="s">
        <v>732</v>
      </c>
    </row>
    <row r="17" spans="1:18" x14ac:dyDescent="0.2">
      <c r="A17" s="363">
        <v>16</v>
      </c>
      <c r="B17" s="110">
        <v>496</v>
      </c>
      <c r="C17" s="110">
        <v>668</v>
      </c>
      <c r="D17" s="110">
        <v>199</v>
      </c>
      <c r="E17" s="110">
        <v>626</v>
      </c>
      <c r="F17" s="110">
        <v>396</v>
      </c>
      <c r="G17" s="111">
        <v>659</v>
      </c>
      <c r="H17" s="493">
        <v>471.12</v>
      </c>
      <c r="I17" s="525" t="s">
        <v>12</v>
      </c>
      <c r="J17" s="526">
        <v>472.90999999999997</v>
      </c>
      <c r="K17" s="527">
        <v>370.93</v>
      </c>
      <c r="L17" s="523">
        <v>323.74</v>
      </c>
      <c r="M17" s="525" t="s">
        <v>12</v>
      </c>
      <c r="N17" s="528">
        <v>400</v>
      </c>
      <c r="O17" s="515">
        <v>9</v>
      </c>
      <c r="Q17" s="527">
        <f t="shared" si="0"/>
        <v>400</v>
      </c>
      <c r="R17" s="601"/>
    </row>
    <row r="18" spans="1:18" x14ac:dyDescent="0.2">
      <c r="A18" s="1">
        <v>17</v>
      </c>
      <c r="B18" s="110"/>
      <c r="C18" s="110"/>
      <c r="D18" s="110">
        <v>859</v>
      </c>
      <c r="E18" s="110">
        <v>684</v>
      </c>
      <c r="F18" s="110">
        <v>717</v>
      </c>
      <c r="G18" s="111">
        <v>829</v>
      </c>
      <c r="H18" s="493">
        <v>922.26</v>
      </c>
      <c r="I18" s="525" t="s">
        <v>13</v>
      </c>
      <c r="J18" s="526">
        <v>802.32</v>
      </c>
      <c r="K18" s="527">
        <v>761.84</v>
      </c>
      <c r="L18" s="523">
        <v>731.25</v>
      </c>
      <c r="M18" s="525" t="s">
        <v>13</v>
      </c>
      <c r="N18" s="528">
        <v>805</v>
      </c>
      <c r="O18" s="515">
        <v>10</v>
      </c>
      <c r="Q18" s="527">
        <f t="shared" si="0"/>
        <v>805</v>
      </c>
      <c r="R18" s="601"/>
    </row>
    <row r="19" spans="1:18" x14ac:dyDescent="0.2">
      <c r="A19" s="363">
        <v>18</v>
      </c>
      <c r="B19" s="370">
        <f t="shared" ref="B19:K19" si="1">SUM(B11:B18)</f>
        <v>7636</v>
      </c>
      <c r="C19" s="370">
        <f t="shared" si="1"/>
        <v>8172</v>
      </c>
      <c r="D19" s="370">
        <f t="shared" si="1"/>
        <v>8825</v>
      </c>
      <c r="E19" s="370">
        <f t="shared" si="1"/>
        <v>8483</v>
      </c>
      <c r="F19" s="370">
        <f t="shared" si="1"/>
        <v>8113</v>
      </c>
      <c r="G19" s="370">
        <f t="shared" si="1"/>
        <v>9213</v>
      </c>
      <c r="H19" s="494">
        <f t="shared" si="1"/>
        <v>8601.3799999999992</v>
      </c>
      <c r="I19" s="529" t="s">
        <v>14</v>
      </c>
      <c r="J19" s="530">
        <f t="shared" si="1"/>
        <v>7806.23</v>
      </c>
      <c r="K19" s="530">
        <f t="shared" si="1"/>
        <v>7357.0700000000006</v>
      </c>
      <c r="L19" s="530">
        <f t="shared" ref="L19" si="2">SUM(L11:L18)</f>
        <v>6554.79</v>
      </c>
      <c r="M19" s="529" t="s">
        <v>14</v>
      </c>
      <c r="N19" s="531">
        <f>SUM(N11:N18)</f>
        <v>7590</v>
      </c>
      <c r="O19" s="532"/>
      <c r="Q19" s="530">
        <f t="shared" si="0"/>
        <v>7590</v>
      </c>
      <c r="R19" s="602"/>
    </row>
    <row r="20" spans="1:18" x14ac:dyDescent="0.2">
      <c r="A20" s="1">
        <v>19</v>
      </c>
      <c r="C20" s="371"/>
      <c r="E20" s="371"/>
      <c r="F20" s="371"/>
      <c r="G20" s="371"/>
      <c r="H20" s="371"/>
      <c r="I20" s="533" t="s">
        <v>3</v>
      </c>
      <c r="J20" s="534"/>
      <c r="K20" s="534"/>
      <c r="L20" s="534"/>
      <c r="M20" s="534"/>
      <c r="N20" s="534"/>
      <c r="O20" s="535"/>
      <c r="Q20" s="536"/>
      <c r="R20" s="603"/>
    </row>
    <row r="21" spans="1:18" x14ac:dyDescent="0.2">
      <c r="A21" s="363">
        <v>20</v>
      </c>
      <c r="B21" s="110">
        <v>-4865</v>
      </c>
      <c r="C21" s="110">
        <v>-3466</v>
      </c>
      <c r="D21" s="110">
        <v>-4375</v>
      </c>
      <c r="E21" s="110">
        <v>-3277</v>
      </c>
      <c r="F21" s="110">
        <v>-3036</v>
      </c>
      <c r="G21" s="111">
        <v>-3682</v>
      </c>
      <c r="H21" s="493">
        <v>-3472.17</v>
      </c>
      <c r="I21" s="525" t="s">
        <v>15</v>
      </c>
      <c r="J21" s="537">
        <v>-3722</v>
      </c>
      <c r="K21" s="537">
        <v>-3225.8900000000003</v>
      </c>
      <c r="L21" s="527">
        <v>-3583.94</v>
      </c>
      <c r="M21" s="525" t="s">
        <v>15</v>
      </c>
      <c r="N21" s="528" t="e">
        <f>+'11 Green Maintenance'!#REF!</f>
        <v>#REF!</v>
      </c>
      <c r="O21" s="515">
        <v>11</v>
      </c>
      <c r="Q21" s="537" t="e">
        <f t="shared" si="0"/>
        <v>#REF!</v>
      </c>
      <c r="R21" s="604"/>
    </row>
    <row r="22" spans="1:18" x14ac:dyDescent="0.2">
      <c r="A22" s="1">
        <v>21</v>
      </c>
      <c r="B22" s="110">
        <v>-650</v>
      </c>
      <c r="C22" s="110">
        <v>-680</v>
      </c>
      <c r="D22" s="110">
        <v>-700</v>
      </c>
      <c r="E22" s="110">
        <v>-700</v>
      </c>
      <c r="F22" s="110">
        <v>-700</v>
      </c>
      <c r="G22" s="111">
        <v>-700</v>
      </c>
      <c r="H22" s="493">
        <v>-730</v>
      </c>
      <c r="I22" s="525" t="s">
        <v>16</v>
      </c>
      <c r="J22" s="537">
        <v>-765</v>
      </c>
      <c r="K22" s="537">
        <v>-790</v>
      </c>
      <c r="L22" s="523">
        <v>-815</v>
      </c>
      <c r="M22" s="525" t="s">
        <v>16</v>
      </c>
      <c r="N22" s="528" t="e">
        <f>+'12 Green Rent'!#REF!</f>
        <v>#REF!</v>
      </c>
      <c r="O22" s="515">
        <v>12</v>
      </c>
      <c r="Q22" s="537" t="e">
        <f t="shared" si="0"/>
        <v>#REF!</v>
      </c>
      <c r="R22" s="604" t="s">
        <v>739</v>
      </c>
    </row>
    <row r="23" spans="1:18" x14ac:dyDescent="0.2">
      <c r="A23" s="363">
        <v>22</v>
      </c>
      <c r="B23" s="110">
        <v>-119</v>
      </c>
      <c r="C23" s="110">
        <v>-363</v>
      </c>
      <c r="D23" s="110">
        <v>-328</v>
      </c>
      <c r="E23" s="110">
        <v>-675</v>
      </c>
      <c r="F23" s="110">
        <v>-503</v>
      </c>
      <c r="G23" s="111">
        <v>-1064</v>
      </c>
      <c r="H23" s="493">
        <v>-350.08</v>
      </c>
      <c r="I23" s="525" t="s">
        <v>17</v>
      </c>
      <c r="J23" s="537">
        <v>-144</v>
      </c>
      <c r="K23" s="537">
        <v>-196.21</v>
      </c>
      <c r="L23" s="523">
        <v>-440.18</v>
      </c>
      <c r="M23" s="525" t="s">
        <v>17</v>
      </c>
      <c r="N23" s="528">
        <f>+'13 Equip Maintenance &amp; Petrol'!N16</f>
        <v>-500</v>
      </c>
      <c r="O23" s="515">
        <v>13</v>
      </c>
      <c r="Q23" s="537">
        <f t="shared" si="0"/>
        <v>-500</v>
      </c>
      <c r="R23" s="604"/>
    </row>
    <row r="24" spans="1:18" x14ac:dyDescent="0.2">
      <c r="A24" s="1">
        <v>23</v>
      </c>
      <c r="B24" s="110">
        <v>-375</v>
      </c>
      <c r="C24" s="110">
        <v>-407</v>
      </c>
      <c r="D24" s="110">
        <v>-300</v>
      </c>
      <c r="E24" s="110">
        <v>-50</v>
      </c>
      <c r="F24" s="110">
        <v>-932</v>
      </c>
      <c r="G24" s="111"/>
      <c r="H24" s="493">
        <v>-2111.3000000000002</v>
      </c>
      <c r="I24" s="538" t="s">
        <v>626</v>
      </c>
      <c r="J24" s="537">
        <v>-5688</v>
      </c>
      <c r="K24" s="537">
        <v>-1242.6599999999999</v>
      </c>
      <c r="L24" s="523">
        <v>0</v>
      </c>
      <c r="M24" s="538" t="s">
        <v>626</v>
      </c>
      <c r="N24" s="528">
        <f>+'14 New Equipment'!Q45</f>
        <v>0</v>
      </c>
      <c r="O24" s="515">
        <v>14</v>
      </c>
      <c r="Q24" s="537">
        <f t="shared" si="0"/>
        <v>0</v>
      </c>
      <c r="R24" s="604"/>
    </row>
    <row r="25" spans="1:18" x14ac:dyDescent="0.2">
      <c r="A25" s="363">
        <v>24</v>
      </c>
      <c r="B25" s="110">
        <v>-92</v>
      </c>
      <c r="C25" s="110">
        <v>-253</v>
      </c>
      <c r="D25" s="110"/>
      <c r="E25" s="110">
        <v>-393</v>
      </c>
      <c r="F25" s="110">
        <v>-76</v>
      </c>
      <c r="G25" s="111">
        <v>-214</v>
      </c>
      <c r="H25" s="493">
        <v>0</v>
      </c>
      <c r="I25" s="525" t="s">
        <v>19</v>
      </c>
      <c r="J25" s="537">
        <v>0</v>
      </c>
      <c r="K25" s="537">
        <v>-163.52000000000001</v>
      </c>
      <c r="L25" s="523">
        <v>-62.49</v>
      </c>
      <c r="M25" s="525" t="s">
        <v>19</v>
      </c>
      <c r="N25" s="528">
        <f>-'15 Bowls Equipment'!L17</f>
        <v>100</v>
      </c>
      <c r="O25" s="515">
        <v>15</v>
      </c>
      <c r="Q25" s="537">
        <f t="shared" si="0"/>
        <v>100</v>
      </c>
      <c r="R25" s="604"/>
    </row>
    <row r="26" spans="1:18" x14ac:dyDescent="0.2">
      <c r="A26" s="1">
        <v>25</v>
      </c>
      <c r="B26" s="110">
        <v>-305</v>
      </c>
      <c r="C26" s="110">
        <v>-368</v>
      </c>
      <c r="D26" s="110">
        <v>-224</v>
      </c>
      <c r="E26" s="110">
        <v>-205</v>
      </c>
      <c r="F26" s="110">
        <v>-212</v>
      </c>
      <c r="G26" s="111">
        <v>-250</v>
      </c>
      <c r="H26" s="493">
        <v>-276.34000000000003</v>
      </c>
      <c r="I26" s="525" t="s">
        <v>20</v>
      </c>
      <c r="J26" s="537">
        <v>-329</v>
      </c>
      <c r="K26" s="537">
        <v>-142.34</v>
      </c>
      <c r="L26" s="523">
        <v>-591.48</v>
      </c>
      <c r="M26" s="525" t="s">
        <v>20</v>
      </c>
      <c r="N26" s="528">
        <f>+'16 Trophies &amp; Prizes'!P19</f>
        <v>-250</v>
      </c>
      <c r="O26" s="515">
        <v>16</v>
      </c>
      <c r="Q26" s="537">
        <f t="shared" si="0"/>
        <v>-250</v>
      </c>
      <c r="R26" s="604" t="s">
        <v>749</v>
      </c>
    </row>
    <row r="27" spans="1:18" x14ac:dyDescent="0.2">
      <c r="A27" s="363">
        <v>26</v>
      </c>
      <c r="B27" s="110">
        <f>-179+74</f>
        <v>-105</v>
      </c>
      <c r="C27" s="110">
        <f>-186+72</f>
        <v>-114</v>
      </c>
      <c r="D27" s="110">
        <f>72-189</f>
        <v>-117</v>
      </c>
      <c r="E27" s="110">
        <f>-223+90</f>
        <v>-133</v>
      </c>
      <c r="F27" s="110">
        <v>-107</v>
      </c>
      <c r="G27" s="111">
        <v>-34</v>
      </c>
      <c r="H27" s="493">
        <v>-194</v>
      </c>
      <c r="I27" s="525" t="s">
        <v>21</v>
      </c>
      <c r="J27" s="537">
        <v>-109</v>
      </c>
      <c r="K27" s="537">
        <v>-99.9</v>
      </c>
      <c r="L27" s="523">
        <v>-91.5</v>
      </c>
      <c r="M27" s="525" t="s">
        <v>21</v>
      </c>
      <c r="N27" s="528">
        <f>+'17 League Fees'!R25</f>
        <v>-70</v>
      </c>
      <c r="O27" s="515">
        <v>17</v>
      </c>
      <c r="Q27" s="537">
        <f t="shared" si="0"/>
        <v>-70</v>
      </c>
      <c r="R27" s="604" t="s">
        <v>733</v>
      </c>
    </row>
    <row r="28" spans="1:18" x14ac:dyDescent="0.2">
      <c r="A28" s="1">
        <v>27</v>
      </c>
      <c r="B28" s="110">
        <v>-25</v>
      </c>
      <c r="C28" s="110">
        <v>-35</v>
      </c>
      <c r="D28" s="110">
        <v>-50</v>
      </c>
      <c r="E28" s="110"/>
      <c r="F28" s="110">
        <v>-74</v>
      </c>
      <c r="G28" s="111">
        <v>-96</v>
      </c>
      <c r="H28" s="493">
        <v>-102.2</v>
      </c>
      <c r="I28" s="525" t="s">
        <v>22</v>
      </c>
      <c r="J28" s="537">
        <v>-92</v>
      </c>
      <c r="K28" s="537">
        <v>-93.84</v>
      </c>
      <c r="L28" s="523">
        <v>-60.88</v>
      </c>
      <c r="M28" s="525" t="s">
        <v>22</v>
      </c>
      <c r="N28" s="528">
        <f>+'18 Raffle Prizes'!L19</f>
        <v>-50</v>
      </c>
      <c r="O28" s="515">
        <v>18</v>
      </c>
      <c r="Q28" s="537">
        <f t="shared" si="0"/>
        <v>-50</v>
      </c>
      <c r="R28" s="604"/>
    </row>
    <row r="29" spans="1:18" x14ac:dyDescent="0.2">
      <c r="A29" s="363">
        <v>28</v>
      </c>
      <c r="B29" s="110"/>
      <c r="C29" s="110">
        <v>0</v>
      </c>
      <c r="D29" s="110">
        <v>-72</v>
      </c>
      <c r="E29" s="110">
        <v>-648</v>
      </c>
      <c r="F29" s="110"/>
      <c r="G29" s="111"/>
      <c r="H29" s="493">
        <v>0</v>
      </c>
      <c r="I29" s="525" t="s">
        <v>23</v>
      </c>
      <c r="J29" s="537">
        <v>-134</v>
      </c>
      <c r="K29" s="537"/>
      <c r="L29" s="523">
        <v>-172.8</v>
      </c>
      <c r="M29" s="525" t="s">
        <v>23</v>
      </c>
      <c r="N29" s="528">
        <f>+'19 Sprinkler System'!L14</f>
        <v>-150</v>
      </c>
      <c r="O29" s="515">
        <v>19</v>
      </c>
      <c r="Q29" s="537">
        <f t="shared" si="0"/>
        <v>-150</v>
      </c>
      <c r="R29" s="604" t="s">
        <v>734</v>
      </c>
    </row>
    <row r="30" spans="1:18" x14ac:dyDescent="0.2">
      <c r="A30" s="1">
        <v>29</v>
      </c>
      <c r="B30" s="370">
        <f t="shared" ref="B30:K30" si="3">SUM(B21:B29)</f>
        <v>-6536</v>
      </c>
      <c r="C30" s="370">
        <f t="shared" si="3"/>
        <v>-5686</v>
      </c>
      <c r="D30" s="370">
        <f t="shared" si="3"/>
        <v>-6166</v>
      </c>
      <c r="E30" s="370">
        <f t="shared" si="3"/>
        <v>-6081</v>
      </c>
      <c r="F30" s="370">
        <f t="shared" si="3"/>
        <v>-5640</v>
      </c>
      <c r="G30" s="370">
        <f t="shared" si="3"/>
        <v>-6040</v>
      </c>
      <c r="H30" s="494">
        <f t="shared" si="3"/>
        <v>-7236.09</v>
      </c>
      <c r="I30" s="529" t="s">
        <v>24</v>
      </c>
      <c r="J30" s="530">
        <f t="shared" si="3"/>
        <v>-10983</v>
      </c>
      <c r="K30" s="530">
        <f t="shared" si="3"/>
        <v>-5954.3600000000006</v>
      </c>
      <c r="L30" s="530">
        <f t="shared" ref="L30" si="4">SUM(L21:L29)</f>
        <v>-5818.27</v>
      </c>
      <c r="M30" s="529" t="s">
        <v>24</v>
      </c>
      <c r="N30" s="539" t="e">
        <f>SUM(N21:N29)</f>
        <v>#REF!</v>
      </c>
      <c r="O30" s="532"/>
      <c r="Q30" s="530" t="e">
        <f t="shared" si="0"/>
        <v>#REF!</v>
      </c>
      <c r="R30" s="602"/>
    </row>
    <row r="31" spans="1:18" ht="17" thickBot="1" x14ac:dyDescent="0.25">
      <c r="A31" s="363">
        <v>30</v>
      </c>
      <c r="B31" s="372">
        <f t="shared" ref="B31:K31" si="5">+B30+B19</f>
        <v>1100</v>
      </c>
      <c r="C31" s="372">
        <f t="shared" si="5"/>
        <v>2486</v>
      </c>
      <c r="D31" s="372">
        <f t="shared" si="5"/>
        <v>2659</v>
      </c>
      <c r="E31" s="372">
        <f t="shared" si="5"/>
        <v>2402</v>
      </c>
      <c r="F31" s="372">
        <f t="shared" si="5"/>
        <v>2473</v>
      </c>
      <c r="G31" s="372">
        <f t="shared" si="5"/>
        <v>3173</v>
      </c>
      <c r="H31" s="495">
        <f t="shared" si="5"/>
        <v>1365.2899999999991</v>
      </c>
      <c r="I31" s="373" t="s">
        <v>25</v>
      </c>
      <c r="J31" s="540">
        <f t="shared" si="5"/>
        <v>-3176.7700000000004</v>
      </c>
      <c r="K31" s="540">
        <f t="shared" si="5"/>
        <v>1402.71</v>
      </c>
      <c r="L31" s="540">
        <f t="shared" ref="L31" si="6">+L30+L19</f>
        <v>736.51999999999953</v>
      </c>
      <c r="M31" s="373" t="s">
        <v>25</v>
      </c>
      <c r="N31" s="541" t="e">
        <f>+N30+N19</f>
        <v>#REF!</v>
      </c>
      <c r="O31" s="374"/>
      <c r="Q31" s="540" t="e">
        <f t="shared" si="0"/>
        <v>#REF!</v>
      </c>
      <c r="R31" s="605"/>
    </row>
    <row r="32" spans="1:18" ht="17" thickTop="1" x14ac:dyDescent="0.2">
      <c r="A32" s="1">
        <v>31</v>
      </c>
      <c r="C32" s="375"/>
      <c r="E32" s="375"/>
      <c r="F32" s="375"/>
      <c r="G32" s="375"/>
      <c r="H32" s="375"/>
      <c r="I32" s="2262" t="s">
        <v>26</v>
      </c>
      <c r="J32" s="2263"/>
      <c r="K32" s="2263"/>
      <c r="L32" s="2263"/>
      <c r="M32" s="2263"/>
      <c r="N32" s="2263"/>
      <c r="O32" s="2263"/>
      <c r="P32" s="2263"/>
      <c r="Q32" s="2263"/>
      <c r="R32" s="2264"/>
    </row>
    <row r="33" spans="1:18" x14ac:dyDescent="0.2">
      <c r="A33" s="363">
        <v>32</v>
      </c>
      <c r="C33" s="376"/>
      <c r="E33" s="376"/>
      <c r="F33" s="376"/>
      <c r="G33" s="376"/>
      <c r="H33" s="376"/>
      <c r="I33" s="489" t="s">
        <v>2</v>
      </c>
      <c r="J33" s="405"/>
      <c r="K33" s="405"/>
      <c r="L33" s="405"/>
      <c r="M33" s="405"/>
      <c r="N33" s="405"/>
      <c r="O33" s="405"/>
      <c r="P33" s="405"/>
      <c r="Q33" s="621"/>
      <c r="R33" s="622"/>
    </row>
    <row r="34" spans="1:18" x14ac:dyDescent="0.2">
      <c r="A34" s="1">
        <v>33</v>
      </c>
      <c r="B34" s="110">
        <v>33</v>
      </c>
      <c r="C34" s="110">
        <v>27</v>
      </c>
      <c r="D34" s="110">
        <v>126</v>
      </c>
      <c r="E34" s="110">
        <v>91</v>
      </c>
      <c r="F34" s="110">
        <v>134</v>
      </c>
      <c r="G34" s="111"/>
      <c r="H34" s="493">
        <v>0</v>
      </c>
      <c r="I34" s="525" t="s">
        <v>27</v>
      </c>
      <c r="J34" s="526">
        <v>3</v>
      </c>
      <c r="K34" s="542">
        <v>27.339999999999918</v>
      </c>
      <c r="L34" s="527">
        <v>0</v>
      </c>
      <c r="M34" s="525" t="s">
        <v>27</v>
      </c>
      <c r="N34" s="528">
        <f>+'20 Annual Dinner'!Q21</f>
        <v>0</v>
      </c>
      <c r="O34" s="515">
        <v>20</v>
      </c>
      <c r="Q34" s="542">
        <f t="shared" si="0"/>
        <v>0</v>
      </c>
      <c r="R34" s="607"/>
    </row>
    <row r="35" spans="1:18" x14ac:dyDescent="0.2">
      <c r="A35" s="363">
        <v>34</v>
      </c>
      <c r="B35" s="110">
        <v>1121</v>
      </c>
      <c r="C35" s="110">
        <v>1174</v>
      </c>
      <c r="D35" s="110">
        <v>1271</v>
      </c>
      <c r="E35" s="110">
        <v>1125</v>
      </c>
      <c r="F35" s="110">
        <v>1183</v>
      </c>
      <c r="G35" s="111">
        <v>1401</v>
      </c>
      <c r="H35" s="493">
        <v>1197.2499999999998</v>
      </c>
      <c r="I35" s="525" t="s">
        <v>29</v>
      </c>
      <c r="J35" s="526">
        <v>1148.25</v>
      </c>
      <c r="K35" s="542">
        <v>716.36999999999966</v>
      </c>
      <c r="L35" s="527">
        <v>1020.46</v>
      </c>
      <c r="M35" s="525" t="s">
        <v>29</v>
      </c>
      <c r="N35" s="528">
        <f>+'21 Plant Sale'!N26</f>
        <v>2000</v>
      </c>
      <c r="O35" s="515">
        <v>21</v>
      </c>
      <c r="Q35" s="542">
        <f t="shared" si="0"/>
        <v>2000</v>
      </c>
      <c r="R35" s="607"/>
    </row>
    <row r="36" spans="1:18" x14ac:dyDescent="0.2">
      <c r="A36" s="1">
        <v>35</v>
      </c>
      <c r="B36" s="112">
        <v>1827</v>
      </c>
      <c r="C36" s="112">
        <v>1820</v>
      </c>
      <c r="D36" s="112">
        <v>1514</v>
      </c>
      <c r="E36" s="112">
        <v>1555</v>
      </c>
      <c r="F36" s="112">
        <v>1545</v>
      </c>
      <c r="G36" s="111">
        <v>1424</v>
      </c>
      <c r="H36" s="493">
        <v>599.39</v>
      </c>
      <c r="I36" s="525" t="s">
        <v>30</v>
      </c>
      <c r="J36" s="543">
        <v>884</v>
      </c>
      <c r="K36" s="542">
        <v>1067.81</v>
      </c>
      <c r="L36" s="527">
        <v>1057.6199999999999</v>
      </c>
      <c r="M36" s="525" t="s">
        <v>30</v>
      </c>
      <c r="N36" s="528">
        <f>+'22 Quiz Nights'!T25</f>
        <v>1250</v>
      </c>
      <c r="O36" s="515">
        <v>22</v>
      </c>
      <c r="Q36" s="542">
        <f t="shared" si="0"/>
        <v>1250</v>
      </c>
      <c r="R36" s="607"/>
    </row>
    <row r="37" spans="1:18" x14ac:dyDescent="0.2">
      <c r="A37" s="363">
        <v>36</v>
      </c>
      <c r="B37" s="112">
        <v>2341</v>
      </c>
      <c r="C37" s="112"/>
      <c r="D37" s="112">
        <v>3040</v>
      </c>
      <c r="E37" s="112"/>
      <c r="F37" s="110">
        <v>2814</v>
      </c>
      <c r="G37" s="111"/>
      <c r="H37" s="493">
        <v>2246.38</v>
      </c>
      <c r="I37" s="525" t="s">
        <v>31</v>
      </c>
      <c r="J37" s="543">
        <v>0</v>
      </c>
      <c r="K37" s="542">
        <v>2391.92</v>
      </c>
      <c r="L37" s="527">
        <v>0</v>
      </c>
      <c r="M37" s="525" t="s">
        <v>31</v>
      </c>
      <c r="N37" s="528">
        <f>+'23 Race Night'!R34</f>
        <v>50</v>
      </c>
      <c r="O37" s="515">
        <v>23</v>
      </c>
      <c r="Q37" s="542">
        <f t="shared" si="0"/>
        <v>50</v>
      </c>
      <c r="R37" s="607"/>
    </row>
    <row r="38" spans="1:18" x14ac:dyDescent="0.2">
      <c r="A38" s="1">
        <v>37</v>
      </c>
      <c r="B38" s="110">
        <v>897</v>
      </c>
      <c r="C38" s="110">
        <v>683</v>
      </c>
      <c r="D38" s="110">
        <v>397</v>
      </c>
      <c r="E38" s="112">
        <v>833</v>
      </c>
      <c r="F38" s="110">
        <v>1058</v>
      </c>
      <c r="G38" s="111">
        <v>801</v>
      </c>
      <c r="H38" s="493">
        <v>717.93</v>
      </c>
      <c r="I38" s="525" t="s">
        <v>32</v>
      </c>
      <c r="J38" s="543">
        <v>573</v>
      </c>
      <c r="K38" s="542">
        <v>481.25000000000006</v>
      </c>
      <c r="L38" s="527">
        <v>740.9899999999999</v>
      </c>
      <c r="M38" s="525" t="s">
        <v>32</v>
      </c>
      <c r="N38" s="528">
        <f>+'24 Social Events - Other'!O47</f>
        <v>750</v>
      </c>
      <c r="O38" s="515">
        <v>24</v>
      </c>
      <c r="Q38" s="542">
        <f t="shared" si="0"/>
        <v>750</v>
      </c>
      <c r="R38" s="607"/>
    </row>
    <row r="39" spans="1:18" x14ac:dyDescent="0.2">
      <c r="A39" s="363">
        <v>38</v>
      </c>
      <c r="B39" s="110"/>
      <c r="C39" s="110">
        <v>90</v>
      </c>
      <c r="D39" s="110">
        <v>10</v>
      </c>
      <c r="E39" s="112">
        <v>2</v>
      </c>
      <c r="F39" s="110">
        <v>10</v>
      </c>
      <c r="G39" s="111">
        <v>14</v>
      </c>
      <c r="H39" s="493">
        <v>13.8</v>
      </c>
      <c r="I39" s="525" t="s">
        <v>33</v>
      </c>
      <c r="J39" s="543">
        <v>3</v>
      </c>
      <c r="K39" s="542">
        <v>10</v>
      </c>
      <c r="L39" s="527">
        <v>0</v>
      </c>
      <c r="M39" s="525" t="s">
        <v>33</v>
      </c>
      <c r="N39" s="528">
        <f>+'25 Sale of Books &amp; Noteletts'!P11</f>
        <v>0</v>
      </c>
      <c r="O39" s="515">
        <v>25</v>
      </c>
      <c r="Q39" s="542">
        <f t="shared" si="0"/>
        <v>0</v>
      </c>
      <c r="R39" s="607"/>
    </row>
    <row r="40" spans="1:18" s="631" customFormat="1" x14ac:dyDescent="0.2">
      <c r="A40" s="631">
        <v>39</v>
      </c>
      <c r="B40" s="635"/>
      <c r="C40" s="635"/>
      <c r="D40" s="635"/>
      <c r="E40" s="635"/>
      <c r="F40" s="635"/>
      <c r="G40" s="636"/>
      <c r="H40" s="637"/>
      <c r="I40" s="638" t="s">
        <v>680</v>
      </c>
      <c r="J40" s="639">
        <v>527</v>
      </c>
      <c r="K40" s="640">
        <v>0</v>
      </c>
      <c r="L40" s="527">
        <v>2000</v>
      </c>
      <c r="M40" s="638" t="s">
        <v>680</v>
      </c>
      <c r="N40" s="641">
        <f>+'26 100 Quiz'!K10</f>
        <v>0</v>
      </c>
      <c r="O40" s="642">
        <v>26</v>
      </c>
      <c r="P40" s="643"/>
      <c r="Q40" s="640">
        <f t="shared" si="0"/>
        <v>0</v>
      </c>
      <c r="R40" s="644"/>
    </row>
    <row r="41" spans="1:18" s="631" customFormat="1" x14ac:dyDescent="0.2">
      <c r="A41" s="645">
        <v>40</v>
      </c>
      <c r="B41" s="635">
        <v>2026</v>
      </c>
      <c r="C41" s="635">
        <v>2374</v>
      </c>
      <c r="D41" s="635">
        <v>2051</v>
      </c>
      <c r="E41" s="635">
        <v>1635</v>
      </c>
      <c r="F41" s="635">
        <v>2550</v>
      </c>
      <c r="G41" s="636">
        <v>2000</v>
      </c>
      <c r="H41" s="637">
        <v>2000</v>
      </c>
      <c r="I41" s="646" t="s">
        <v>34</v>
      </c>
      <c r="J41" s="639">
        <v>3000</v>
      </c>
      <c r="K41" s="647">
        <v>1500</v>
      </c>
      <c r="L41" s="527">
        <v>0</v>
      </c>
      <c r="M41" s="646" t="s">
        <v>34</v>
      </c>
      <c r="N41" s="641">
        <f>+'27 LAV'!R7</f>
        <v>2000</v>
      </c>
      <c r="O41" s="642">
        <v>27</v>
      </c>
      <c r="P41" s="643"/>
      <c r="Q41" s="647">
        <f t="shared" si="0"/>
        <v>2000</v>
      </c>
      <c r="R41" s="648" t="s">
        <v>735</v>
      </c>
    </row>
    <row r="42" spans="1:18" x14ac:dyDescent="0.2">
      <c r="A42" s="1">
        <v>41</v>
      </c>
      <c r="B42" s="370">
        <f t="shared" ref="B42:K42" si="7">SUM(B34:B41)</f>
        <v>8245</v>
      </c>
      <c r="C42" s="370">
        <f t="shared" si="7"/>
        <v>6168</v>
      </c>
      <c r="D42" s="370">
        <f t="shared" si="7"/>
        <v>8409</v>
      </c>
      <c r="E42" s="370">
        <f t="shared" si="7"/>
        <v>5241</v>
      </c>
      <c r="F42" s="370">
        <f t="shared" si="7"/>
        <v>9294</v>
      </c>
      <c r="G42" s="370">
        <f t="shared" si="7"/>
        <v>5640</v>
      </c>
      <c r="H42" s="494">
        <f t="shared" si="7"/>
        <v>6774.75</v>
      </c>
      <c r="I42" s="529" t="s">
        <v>14</v>
      </c>
      <c r="J42" s="530">
        <f t="shared" si="7"/>
        <v>6138.25</v>
      </c>
      <c r="K42" s="530">
        <f t="shared" si="7"/>
        <v>6194.69</v>
      </c>
      <c r="L42" s="530">
        <f t="shared" ref="L42" si="8">SUM(L34:L41)</f>
        <v>4819.07</v>
      </c>
      <c r="M42" s="529" t="s">
        <v>14</v>
      </c>
      <c r="N42" s="531">
        <f>SUM(N34:N41)</f>
        <v>6050</v>
      </c>
      <c r="O42" s="532"/>
      <c r="Q42" s="530">
        <f t="shared" si="0"/>
        <v>6050</v>
      </c>
      <c r="R42" s="602"/>
    </row>
    <row r="43" spans="1:18" x14ac:dyDescent="0.2">
      <c r="A43" s="363">
        <v>42</v>
      </c>
      <c r="C43" s="371"/>
      <c r="E43" s="371"/>
      <c r="F43" s="371"/>
      <c r="G43" s="371"/>
      <c r="H43" s="371"/>
      <c r="I43" s="533" t="s">
        <v>35</v>
      </c>
      <c r="J43" s="534"/>
      <c r="K43" s="534"/>
      <c r="L43" s="534"/>
      <c r="M43" s="534"/>
      <c r="N43" s="534"/>
      <c r="O43" s="535"/>
      <c r="Q43" s="624"/>
      <c r="R43" s="603"/>
    </row>
    <row r="44" spans="1:18" x14ac:dyDescent="0.2">
      <c r="A44" s="1">
        <v>43</v>
      </c>
      <c r="B44" s="110">
        <v>-577</v>
      </c>
      <c r="C44" s="110">
        <v>-597</v>
      </c>
      <c r="D44" s="110">
        <v>-618</v>
      </c>
      <c r="E44" s="110">
        <v>-640</v>
      </c>
      <c r="F44" s="110">
        <v>-1229</v>
      </c>
      <c r="G44" s="111">
        <v>-734</v>
      </c>
      <c r="H44" s="493">
        <v>-702.68</v>
      </c>
      <c r="I44" s="525" t="s">
        <v>36</v>
      </c>
      <c r="J44" s="537">
        <v>-740</v>
      </c>
      <c r="K44" s="537">
        <v>-740.4</v>
      </c>
      <c r="L44" s="523">
        <v>-748.82</v>
      </c>
      <c r="M44" s="525" t="s">
        <v>36</v>
      </c>
      <c r="N44" s="528">
        <f>+'28 Insurance'!D24</f>
        <v>-860</v>
      </c>
      <c r="O44" s="515">
        <v>28</v>
      </c>
      <c r="Q44" s="537">
        <f t="shared" si="0"/>
        <v>-860</v>
      </c>
      <c r="R44" s="604"/>
    </row>
    <row r="45" spans="1:18" x14ac:dyDescent="0.2">
      <c r="A45" s="363">
        <v>44</v>
      </c>
      <c r="B45" s="110">
        <v>-50</v>
      </c>
      <c r="C45" s="110">
        <v>-97</v>
      </c>
      <c r="D45" s="110">
        <v>-86</v>
      </c>
      <c r="E45" s="110">
        <v>-147</v>
      </c>
      <c r="F45" s="110">
        <v>-217</v>
      </c>
      <c r="G45" s="111">
        <v>-259</v>
      </c>
      <c r="H45" s="493">
        <v>-187.11</v>
      </c>
      <c r="I45" s="525" t="s">
        <v>37</v>
      </c>
      <c r="J45" s="537">
        <v>-231</v>
      </c>
      <c r="K45" s="537">
        <v>-216.54</v>
      </c>
      <c r="L45" s="523">
        <v>-288.15000000000003</v>
      </c>
      <c r="M45" s="525" t="s">
        <v>37</v>
      </c>
      <c r="N45" s="528">
        <f>+'29 Electricity'!I27</f>
        <v>-600</v>
      </c>
      <c r="O45" s="515">
        <v>29</v>
      </c>
      <c r="Q45" s="537">
        <f t="shared" si="0"/>
        <v>-600</v>
      </c>
      <c r="R45" s="604" t="s">
        <v>736</v>
      </c>
    </row>
    <row r="46" spans="1:18" x14ac:dyDescent="0.2">
      <c r="A46" s="1">
        <v>45</v>
      </c>
      <c r="B46" s="110">
        <v>-488</v>
      </c>
      <c r="C46" s="110">
        <v>-393</v>
      </c>
      <c r="D46" s="110">
        <v>-265</v>
      </c>
      <c r="E46" s="110">
        <v>-341</v>
      </c>
      <c r="F46" s="110">
        <v>-450</v>
      </c>
      <c r="G46" s="111">
        <v>-353</v>
      </c>
      <c r="H46" s="493">
        <v>-469</v>
      </c>
      <c r="I46" s="525" t="s">
        <v>38</v>
      </c>
      <c r="J46" s="537">
        <v>-306</v>
      </c>
      <c r="K46" s="537">
        <v>-448.5</v>
      </c>
      <c r="L46" s="523">
        <v>-475.5</v>
      </c>
      <c r="M46" s="525" t="s">
        <v>38</v>
      </c>
      <c r="N46" s="528" t="e">
        <f>+'30 Hire of Hall'!#REF!</f>
        <v>#REF!</v>
      </c>
      <c r="O46" s="515">
        <v>30</v>
      </c>
      <c r="Q46" s="537" t="e">
        <f t="shared" si="0"/>
        <v>#REF!</v>
      </c>
      <c r="R46" s="604"/>
    </row>
    <row r="47" spans="1:18" x14ac:dyDescent="0.2">
      <c r="A47" s="363">
        <v>46</v>
      </c>
      <c r="B47" s="110">
        <v>-63</v>
      </c>
      <c r="C47" s="110">
        <v>-1173</v>
      </c>
      <c r="D47" s="110">
        <v>-183</v>
      </c>
      <c r="E47" s="110">
        <v>-36</v>
      </c>
      <c r="F47" s="110">
        <v>-351</v>
      </c>
      <c r="G47" s="111">
        <v>-196</v>
      </c>
      <c r="H47" s="493">
        <v>112</v>
      </c>
      <c r="I47" s="525" t="s">
        <v>39</v>
      </c>
      <c r="J47" s="537">
        <v>-12</v>
      </c>
      <c r="K47" s="537">
        <v>-307</v>
      </c>
      <c r="L47" s="523">
        <v>-190.99</v>
      </c>
      <c r="M47" s="525" t="s">
        <v>39</v>
      </c>
      <c r="N47" s="528">
        <f>+'31 Security'!O26</f>
        <v>-50</v>
      </c>
      <c r="O47" s="515">
        <v>31</v>
      </c>
      <c r="Q47" s="537">
        <f t="shared" si="0"/>
        <v>-50</v>
      </c>
      <c r="R47" s="604"/>
    </row>
    <row r="48" spans="1:18" x14ac:dyDescent="0.2">
      <c r="A48" s="1">
        <v>47</v>
      </c>
      <c r="B48" s="110">
        <v>-124</v>
      </c>
      <c r="C48" s="110">
        <v>-127</v>
      </c>
      <c r="D48" s="110">
        <v>-497</v>
      </c>
      <c r="E48" s="110">
        <v>-5449</v>
      </c>
      <c r="F48" s="110">
        <v>-5037</v>
      </c>
      <c r="G48" s="111">
        <v>-1547</v>
      </c>
      <c r="H48" s="493">
        <v>-1012.6500000000003</v>
      </c>
      <c r="I48" s="525" t="s">
        <v>40</v>
      </c>
      <c r="J48" s="537">
        <v>-1135</v>
      </c>
      <c r="K48" s="537">
        <v>-649.69000000000005</v>
      </c>
      <c r="L48" s="523">
        <v>-1087.2800000000002</v>
      </c>
      <c r="M48" s="525" t="s">
        <v>40</v>
      </c>
      <c r="N48" s="528">
        <f>+'32 General Maintenance'!R109</f>
        <v>-400</v>
      </c>
      <c r="O48" s="515">
        <v>32</v>
      </c>
      <c r="Q48" s="537">
        <f t="shared" si="0"/>
        <v>-400</v>
      </c>
      <c r="R48" s="604" t="s">
        <v>737</v>
      </c>
    </row>
    <row r="49" spans="1:18" x14ac:dyDescent="0.2">
      <c r="A49" s="363">
        <v>48</v>
      </c>
      <c r="B49" s="110">
        <v>-342</v>
      </c>
      <c r="C49" s="110">
        <v>-481</v>
      </c>
      <c r="D49" s="110">
        <v>-92</v>
      </c>
      <c r="E49" s="110">
        <v>-284</v>
      </c>
      <c r="F49" s="110"/>
      <c r="G49" s="111">
        <v>-265</v>
      </c>
      <c r="H49" s="493">
        <v>-244.44</v>
      </c>
      <c r="I49" s="525" t="s">
        <v>41</v>
      </c>
      <c r="J49" s="537">
        <v>-447</v>
      </c>
      <c r="K49" s="537">
        <v>-398.02</v>
      </c>
      <c r="L49" s="523">
        <v>-280.25</v>
      </c>
      <c r="M49" s="525" t="s">
        <v>41</v>
      </c>
      <c r="N49" s="528">
        <f>+'33 Water'!O17</f>
        <v>-500</v>
      </c>
      <c r="O49" s="515">
        <v>33</v>
      </c>
      <c r="Q49" s="537">
        <f t="shared" si="0"/>
        <v>-500</v>
      </c>
      <c r="R49" s="604" t="s">
        <v>740</v>
      </c>
    </row>
    <row r="50" spans="1:18" x14ac:dyDescent="0.2">
      <c r="A50" s="1">
        <v>49</v>
      </c>
      <c r="B50" s="110">
        <v>-121</v>
      </c>
      <c r="C50" s="110">
        <v>-349</v>
      </c>
      <c r="D50" s="110">
        <v>-359</v>
      </c>
      <c r="E50" s="110">
        <v>-357</v>
      </c>
      <c r="F50" s="110">
        <v>-685</v>
      </c>
      <c r="G50" s="111">
        <v>-489</v>
      </c>
      <c r="H50" s="493">
        <v>-539.70000000000005</v>
      </c>
      <c r="I50" s="525" t="s">
        <v>42</v>
      </c>
      <c r="J50" s="537">
        <v>-223</v>
      </c>
      <c r="K50" s="537">
        <v>-316.2</v>
      </c>
      <c r="L50" s="523">
        <v>-416.10999999999984</v>
      </c>
      <c r="M50" s="525" t="s">
        <v>42</v>
      </c>
      <c r="N50" s="528">
        <f>+'34 Waste Disposal'!AI37</f>
        <v>-720</v>
      </c>
      <c r="O50" s="515">
        <v>34</v>
      </c>
      <c r="Q50" s="537">
        <f t="shared" si="0"/>
        <v>-720</v>
      </c>
      <c r="R50" s="604"/>
    </row>
    <row r="51" spans="1:18" x14ac:dyDescent="0.2">
      <c r="A51" s="363">
        <v>50</v>
      </c>
      <c r="B51" s="110"/>
      <c r="C51" s="110"/>
      <c r="D51" s="110"/>
      <c r="E51" s="110">
        <v>-116</v>
      </c>
      <c r="F51" s="110">
        <v>-461</v>
      </c>
      <c r="G51" s="111">
        <v>-217.99999999999994</v>
      </c>
      <c r="H51" s="493">
        <v>-200</v>
      </c>
      <c r="I51" s="646" t="s">
        <v>43</v>
      </c>
      <c r="J51" s="537">
        <v>-205</v>
      </c>
      <c r="K51" s="537">
        <v>-180.48000000000002</v>
      </c>
      <c r="L51" s="523">
        <v>-184.08000000000004</v>
      </c>
      <c r="M51" s="525" t="s">
        <v>43</v>
      </c>
      <c r="N51" s="528">
        <f>+'36 General Catering'!O46</f>
        <v>-130</v>
      </c>
      <c r="O51" s="515">
        <v>36</v>
      </c>
      <c r="P51" s="512">
        <v>1</v>
      </c>
      <c r="Q51" s="544">
        <f t="shared" si="0"/>
        <v>-130</v>
      </c>
      <c r="R51" s="608"/>
    </row>
    <row r="52" spans="1:18" x14ac:dyDescent="0.2">
      <c r="A52" s="1">
        <v>51</v>
      </c>
      <c r="B52" s="110">
        <v>-186</v>
      </c>
      <c r="C52" s="110">
        <v>-204</v>
      </c>
      <c r="D52" s="110">
        <v>-152</v>
      </c>
      <c r="E52" s="110">
        <v>-78</v>
      </c>
      <c r="F52" s="110">
        <v>-122</v>
      </c>
      <c r="G52" s="111">
        <v>-100</v>
      </c>
      <c r="H52" s="493">
        <v>-103.17999999999999</v>
      </c>
      <c r="I52" s="525" t="s">
        <v>44</v>
      </c>
      <c r="J52" s="537">
        <v>-157</v>
      </c>
      <c r="K52" s="537">
        <v>-175.59</v>
      </c>
      <c r="L52" s="523">
        <v>-71.210000000000008</v>
      </c>
      <c r="M52" s="525" t="s">
        <v>44</v>
      </c>
      <c r="N52" s="528">
        <f>+'37 General Stationery'!N26</f>
        <v>-25</v>
      </c>
      <c r="O52" s="515">
        <v>37</v>
      </c>
      <c r="P52" s="512">
        <v>2</v>
      </c>
      <c r="Q52" s="537">
        <f t="shared" si="0"/>
        <v>-25</v>
      </c>
      <c r="R52" s="604"/>
    </row>
    <row r="53" spans="1:18" x14ac:dyDescent="0.2">
      <c r="A53" s="80">
        <v>53</v>
      </c>
      <c r="B53" s="110"/>
      <c r="C53" s="110"/>
      <c r="D53" s="110"/>
      <c r="E53" s="110">
        <v>-36</v>
      </c>
      <c r="F53" s="110">
        <v>-48</v>
      </c>
      <c r="G53" s="111">
        <v>-48</v>
      </c>
      <c r="H53" s="493">
        <v>-47.84</v>
      </c>
      <c r="I53" s="525" t="s">
        <v>45</v>
      </c>
      <c r="J53" s="537">
        <v>-48</v>
      </c>
      <c r="K53" s="537">
        <v>-91.18</v>
      </c>
      <c r="L53" s="523">
        <v>-91.18</v>
      </c>
      <c r="M53" s="525" t="s">
        <v>45</v>
      </c>
      <c r="N53" s="528">
        <f>+'38 Website Domain &amp; Hosting'!O18</f>
        <v>-175</v>
      </c>
      <c r="O53" s="515">
        <v>38</v>
      </c>
      <c r="P53" s="512">
        <v>3</v>
      </c>
      <c r="Q53" s="537">
        <f t="shared" si="0"/>
        <v>-175</v>
      </c>
      <c r="R53" s="604"/>
    </row>
    <row r="54" spans="1:18" ht="16.25" customHeight="1" x14ac:dyDescent="0.2">
      <c r="A54" s="649">
        <v>54</v>
      </c>
      <c r="B54" s="110">
        <v>-46</v>
      </c>
      <c r="C54" s="110">
        <v>-61</v>
      </c>
      <c r="D54" s="110">
        <v>-165</v>
      </c>
      <c r="E54" s="110">
        <v>-215</v>
      </c>
      <c r="F54" s="110">
        <v>-259</v>
      </c>
      <c r="G54" s="111">
        <v>-26</v>
      </c>
      <c r="H54" s="493">
        <v>-26</v>
      </c>
      <c r="I54" s="525" t="s">
        <v>46</v>
      </c>
      <c r="J54" s="537">
        <v>-150</v>
      </c>
      <c r="K54" s="537">
        <v>-36</v>
      </c>
      <c r="L54" s="523">
        <v>-143.29</v>
      </c>
      <c r="M54" s="525" t="s">
        <v>46</v>
      </c>
      <c r="N54" s="528">
        <f>+'39 Misc Expenses'!O38</f>
        <v>-200</v>
      </c>
      <c r="O54" s="515">
        <v>39</v>
      </c>
      <c r="P54" s="512">
        <v>4</v>
      </c>
      <c r="Q54" s="537">
        <f t="shared" si="0"/>
        <v>-200</v>
      </c>
      <c r="R54" s="604"/>
    </row>
    <row r="55" spans="1:18" ht="16.25" customHeight="1" x14ac:dyDescent="0.2">
      <c r="A55" s="80">
        <v>55</v>
      </c>
      <c r="B55" s="110"/>
      <c r="C55" s="110"/>
      <c r="D55" s="110"/>
      <c r="E55" s="110"/>
      <c r="F55" s="110"/>
      <c r="G55" s="111">
        <v>-387</v>
      </c>
      <c r="H55" s="493">
        <v>-49</v>
      </c>
      <c r="I55" s="525" t="s">
        <v>48</v>
      </c>
      <c r="J55" s="537">
        <v>0</v>
      </c>
      <c r="K55" s="537">
        <v>-740.48</v>
      </c>
      <c r="L55" s="523">
        <v>0</v>
      </c>
      <c r="M55" s="525" t="s">
        <v>48</v>
      </c>
      <c r="N55" s="528">
        <f>+'41 Memorial Benches'!Q29</f>
        <v>-50</v>
      </c>
      <c r="O55" s="515">
        <v>41</v>
      </c>
      <c r="P55" s="512">
        <v>6</v>
      </c>
      <c r="Q55" s="537">
        <f t="shared" si="0"/>
        <v>-50</v>
      </c>
      <c r="R55" s="604"/>
    </row>
    <row r="56" spans="1:18" ht="16.25" customHeight="1" x14ac:dyDescent="0.2">
      <c r="A56" s="649">
        <v>56</v>
      </c>
      <c r="B56" s="110"/>
      <c r="C56" s="110"/>
      <c r="D56" s="110"/>
      <c r="E56" s="110"/>
      <c r="F56" s="112"/>
      <c r="G56" s="111"/>
      <c r="H56" s="493"/>
      <c r="I56" s="525" t="s">
        <v>694</v>
      </c>
      <c r="J56" s="537"/>
      <c r="K56" s="537">
        <v>-234</v>
      </c>
      <c r="L56" s="523">
        <v>234</v>
      </c>
      <c r="M56" s="525" t="s">
        <v>49</v>
      </c>
      <c r="N56" s="528">
        <f>+'42 Petty Cash'!J10</f>
        <v>0</v>
      </c>
      <c r="O56" s="515">
        <v>42</v>
      </c>
      <c r="P56" s="512">
        <v>7</v>
      </c>
      <c r="Q56" s="537">
        <f t="shared" si="0"/>
        <v>0</v>
      </c>
      <c r="R56" s="604"/>
    </row>
    <row r="57" spans="1:18" ht="16.25" customHeight="1" x14ac:dyDescent="0.2">
      <c r="A57" s="80">
        <v>57</v>
      </c>
      <c r="B57" s="110"/>
      <c r="C57" s="110"/>
      <c r="D57" s="110"/>
      <c r="E57" s="110"/>
      <c r="F57" s="110"/>
      <c r="G57" s="111"/>
      <c r="H57" s="493">
        <v>0</v>
      </c>
      <c r="I57" s="525" t="s">
        <v>49</v>
      </c>
      <c r="J57" s="537"/>
      <c r="K57" s="537"/>
      <c r="L57" s="523">
        <v>0</v>
      </c>
      <c r="M57" s="525" t="s">
        <v>50</v>
      </c>
      <c r="N57" s="528">
        <f>+'43 New Tea Room'!J12</f>
        <v>0</v>
      </c>
      <c r="O57" s="515">
        <v>43</v>
      </c>
      <c r="P57" s="512">
        <v>8</v>
      </c>
      <c r="Q57" s="537">
        <f t="shared" si="0"/>
        <v>0</v>
      </c>
      <c r="R57" s="604"/>
    </row>
    <row r="58" spans="1:18" ht="16.25" customHeight="1" x14ac:dyDescent="0.2">
      <c r="A58" s="649">
        <v>58</v>
      </c>
      <c r="B58" s="110"/>
      <c r="C58" s="110"/>
      <c r="D58" s="110"/>
      <c r="E58" s="110">
        <v>-27083</v>
      </c>
      <c r="F58" s="112">
        <v>-5224</v>
      </c>
      <c r="G58" s="111"/>
      <c r="H58" s="493">
        <v>0</v>
      </c>
      <c r="I58" s="525" t="s">
        <v>50</v>
      </c>
      <c r="J58" s="537">
        <v>0</v>
      </c>
      <c r="K58" s="537">
        <v>0</v>
      </c>
      <c r="L58" s="523"/>
      <c r="M58" s="525" t="s">
        <v>694</v>
      </c>
      <c r="N58" s="528">
        <f>+'43a New Store Building'!J10</f>
        <v>0</v>
      </c>
      <c r="O58" s="515" t="s">
        <v>695</v>
      </c>
      <c r="P58" s="512">
        <v>9</v>
      </c>
      <c r="Q58" s="537">
        <f t="shared" si="0"/>
        <v>0</v>
      </c>
      <c r="R58" s="604"/>
    </row>
    <row r="59" spans="1:18" ht="16.25" customHeight="1" x14ac:dyDescent="0.2">
      <c r="A59" s="80">
        <v>59</v>
      </c>
      <c r="B59" s="110"/>
      <c r="C59" s="110"/>
      <c r="D59" s="110">
        <v>-540</v>
      </c>
      <c r="E59" s="110"/>
      <c r="F59" s="110"/>
      <c r="G59" s="111"/>
      <c r="H59" s="496"/>
      <c r="I59" s="525" t="s">
        <v>362</v>
      </c>
      <c r="J59" s="544"/>
      <c r="K59" s="544"/>
      <c r="L59" s="523"/>
      <c r="M59" s="525" t="s">
        <v>362</v>
      </c>
      <c r="N59" s="528">
        <f>+'35 Marque'!K13</f>
        <v>0</v>
      </c>
      <c r="O59" s="515">
        <v>35</v>
      </c>
      <c r="P59" s="512">
        <v>1000</v>
      </c>
      <c r="Q59" s="537">
        <f t="shared" si="0"/>
        <v>0</v>
      </c>
      <c r="R59" s="604"/>
    </row>
    <row r="60" spans="1:18" ht="16.25" customHeight="1" x14ac:dyDescent="0.2">
      <c r="A60" s="649">
        <v>60</v>
      </c>
      <c r="B60" s="110">
        <v>-67</v>
      </c>
      <c r="C60" s="110">
        <v>-151</v>
      </c>
      <c r="D60" s="110"/>
      <c r="E60" s="110"/>
      <c r="F60" s="110"/>
      <c r="G60" s="111"/>
      <c r="H60" s="496"/>
      <c r="I60" s="525" t="s">
        <v>472</v>
      </c>
      <c r="J60" s="544"/>
      <c r="K60" s="544"/>
      <c r="L60" s="523"/>
      <c r="M60" s="525" t="s">
        <v>47</v>
      </c>
      <c r="N60" s="528">
        <f>+'40 Health &amp; Safety'!J12</f>
        <v>-75</v>
      </c>
      <c r="O60" s="515">
        <v>40</v>
      </c>
      <c r="P60" s="512">
        <v>1001</v>
      </c>
      <c r="Q60" s="537">
        <f t="shared" si="0"/>
        <v>-75</v>
      </c>
      <c r="R60" s="604" t="s">
        <v>741</v>
      </c>
    </row>
    <row r="61" spans="1:18" ht="16.25" customHeight="1" x14ac:dyDescent="0.2">
      <c r="A61" s="363">
        <v>52</v>
      </c>
      <c r="B61" s="110"/>
      <c r="C61" s="110"/>
      <c r="D61" s="110"/>
      <c r="E61" s="110"/>
      <c r="F61" s="110"/>
      <c r="G61" s="111">
        <v>-716</v>
      </c>
      <c r="H61" s="493">
        <v>0</v>
      </c>
      <c r="I61" s="525" t="s">
        <v>47</v>
      </c>
      <c r="J61" s="537">
        <v>0</v>
      </c>
      <c r="K61" s="537"/>
      <c r="L61" s="523"/>
      <c r="M61" s="525" t="s">
        <v>472</v>
      </c>
      <c r="N61" s="528">
        <f>+'44 Bank Charges'!F10</f>
        <v>-30</v>
      </c>
      <c r="O61" s="515">
        <v>44</v>
      </c>
      <c r="Q61" s="544">
        <f t="shared" si="0"/>
        <v>-30</v>
      </c>
      <c r="R61" s="608"/>
    </row>
    <row r="62" spans="1:18" ht="16.25" customHeight="1" x14ac:dyDescent="0.2">
      <c r="A62" s="1">
        <v>61</v>
      </c>
      <c r="B62" s="370">
        <f t="shared" ref="B62:K62" si="9">SUM(B44:B61)</f>
        <v>-2064</v>
      </c>
      <c r="C62" s="370">
        <f t="shared" si="9"/>
        <v>-3633</v>
      </c>
      <c r="D62" s="370">
        <f t="shared" si="9"/>
        <v>-2957</v>
      </c>
      <c r="E62" s="370">
        <f t="shared" si="9"/>
        <v>-34782</v>
      </c>
      <c r="F62" s="370">
        <f t="shared" si="9"/>
        <v>-14083</v>
      </c>
      <c r="G62" s="370">
        <f t="shared" si="9"/>
        <v>-5338</v>
      </c>
      <c r="H62" s="494">
        <f t="shared" si="9"/>
        <v>-3469.6000000000008</v>
      </c>
      <c r="I62" s="529" t="s">
        <v>51</v>
      </c>
      <c r="J62" s="530">
        <f t="shared" si="9"/>
        <v>-3654</v>
      </c>
      <c r="K62" s="530">
        <f t="shared" si="9"/>
        <v>-4534.08</v>
      </c>
      <c r="L62" s="530">
        <f t="shared" ref="L62" si="10">SUM(L44:L61)</f>
        <v>-3742.8599999999997</v>
      </c>
      <c r="M62" s="529" t="s">
        <v>51</v>
      </c>
      <c r="N62" s="531" t="e">
        <f>SUM(N44:N61)</f>
        <v>#REF!</v>
      </c>
      <c r="O62" s="532"/>
      <c r="Q62" s="530" t="e">
        <f t="shared" si="0"/>
        <v>#REF!</v>
      </c>
      <c r="R62" s="602"/>
    </row>
    <row r="63" spans="1:18" ht="16.25" customHeight="1" thickBot="1" x14ac:dyDescent="0.25">
      <c r="A63" s="363">
        <v>62</v>
      </c>
      <c r="B63" s="372">
        <f t="shared" ref="B63:K63" si="11">+B62+B42</f>
        <v>6181</v>
      </c>
      <c r="C63" s="372">
        <f t="shared" si="11"/>
        <v>2535</v>
      </c>
      <c r="D63" s="372">
        <f t="shared" si="11"/>
        <v>5452</v>
      </c>
      <c r="E63" s="372">
        <f t="shared" si="11"/>
        <v>-29541</v>
      </c>
      <c r="F63" s="372">
        <f t="shared" si="11"/>
        <v>-4789</v>
      </c>
      <c r="G63" s="372">
        <f t="shared" si="11"/>
        <v>302</v>
      </c>
      <c r="H63" s="495">
        <f t="shared" si="11"/>
        <v>3305.1499999999992</v>
      </c>
      <c r="I63" s="373" t="s">
        <v>52</v>
      </c>
      <c r="J63" s="540">
        <f t="shared" si="11"/>
        <v>2484.25</v>
      </c>
      <c r="K63" s="540">
        <f t="shared" si="11"/>
        <v>1660.6099999999997</v>
      </c>
      <c r="L63" s="540">
        <f t="shared" ref="L63" si="12">+L62+L42</f>
        <v>1076.21</v>
      </c>
      <c r="M63" s="373" t="s">
        <v>52</v>
      </c>
      <c r="N63" s="541" t="e">
        <f>+N62+N42</f>
        <v>#REF!</v>
      </c>
      <c r="O63" s="374"/>
      <c r="Q63" s="540" t="e">
        <f t="shared" si="0"/>
        <v>#REF!</v>
      </c>
      <c r="R63" s="605"/>
    </row>
    <row r="64" spans="1:18" ht="16.25" customHeight="1" thickTop="1" x14ac:dyDescent="0.2">
      <c r="A64" s="1">
        <v>63</v>
      </c>
      <c r="C64" s="379"/>
      <c r="D64" s="379"/>
      <c r="E64" s="379"/>
      <c r="F64" s="379"/>
      <c r="G64" s="379"/>
      <c r="H64" s="379"/>
      <c r="I64" s="545"/>
      <c r="J64" s="340"/>
      <c r="K64" s="340"/>
      <c r="L64" s="340"/>
      <c r="M64" s="340"/>
      <c r="N64" s="340"/>
      <c r="O64" s="340"/>
      <c r="P64" s="340"/>
      <c r="Q64" s="492"/>
      <c r="R64" s="609"/>
    </row>
    <row r="65" spans="1:18" ht="16.25" customHeight="1" x14ac:dyDescent="0.2">
      <c r="A65" s="363">
        <v>64</v>
      </c>
      <c r="C65" s="340"/>
      <c r="E65" s="490"/>
      <c r="F65" s="490"/>
      <c r="G65" s="490"/>
      <c r="H65" s="490"/>
      <c r="I65" s="2262" t="s">
        <v>420</v>
      </c>
      <c r="J65" s="2263"/>
      <c r="K65" s="2263"/>
      <c r="L65" s="2263"/>
      <c r="M65" s="2263"/>
      <c r="N65" s="2263"/>
      <c r="O65" s="2263"/>
      <c r="P65" s="2263"/>
      <c r="Q65" s="2263"/>
      <c r="R65" s="2264"/>
    </row>
    <row r="66" spans="1:18" x14ac:dyDescent="0.2">
      <c r="A66" s="1">
        <v>65</v>
      </c>
      <c r="C66" s="376"/>
      <c r="E66" s="376"/>
      <c r="F66" s="376"/>
      <c r="G66" s="376"/>
      <c r="H66" s="376"/>
      <c r="I66" s="489" t="s">
        <v>417</v>
      </c>
      <c r="J66" s="405"/>
      <c r="K66" s="405"/>
      <c r="L66" s="405"/>
      <c r="M66" s="405"/>
      <c r="N66" s="405"/>
      <c r="O66" s="520"/>
      <c r="Q66" s="625"/>
      <c r="R66" s="610"/>
    </row>
    <row r="67" spans="1:18" x14ac:dyDescent="0.2">
      <c r="A67" s="363">
        <v>66</v>
      </c>
      <c r="B67" s="110">
        <v>314</v>
      </c>
      <c r="C67" s="110">
        <v>485</v>
      </c>
      <c r="D67" s="110">
        <v>262</v>
      </c>
      <c r="E67" s="110">
        <v>1449</v>
      </c>
      <c r="F67" s="110">
        <v>1238</v>
      </c>
      <c r="G67" s="111">
        <v>964</v>
      </c>
      <c r="H67" s="493">
        <v>721.34</v>
      </c>
      <c r="I67" s="525" t="s">
        <v>10</v>
      </c>
      <c r="J67" s="537">
        <v>800</v>
      </c>
      <c r="K67" s="537">
        <v>1215.0000000000002</v>
      </c>
      <c r="L67" s="527">
        <v>589.38</v>
      </c>
      <c r="M67" s="525" t="s">
        <v>10</v>
      </c>
      <c r="N67" s="528">
        <f>+'48 Charity Event and Donation'!J6</f>
        <v>0</v>
      </c>
      <c r="O67" s="515">
        <v>48</v>
      </c>
      <c r="Q67" s="537">
        <f t="shared" si="0"/>
        <v>0</v>
      </c>
      <c r="R67" s="604"/>
    </row>
    <row r="68" spans="1:18" x14ac:dyDescent="0.2">
      <c r="A68" s="1">
        <v>67</v>
      </c>
      <c r="B68" s="110">
        <v>-310</v>
      </c>
      <c r="C68" s="110">
        <v>-500</v>
      </c>
      <c r="D68" s="110">
        <v>-262</v>
      </c>
      <c r="E68" s="110">
        <v>-1499</v>
      </c>
      <c r="F68" s="113">
        <v>-1300</v>
      </c>
      <c r="G68" s="111">
        <v>-1000</v>
      </c>
      <c r="H68" s="493">
        <v>-750</v>
      </c>
      <c r="I68" s="525" t="s">
        <v>729</v>
      </c>
      <c r="J68" s="537">
        <v>-800</v>
      </c>
      <c r="K68" s="537">
        <v>-1215</v>
      </c>
      <c r="L68" s="527">
        <v>-600</v>
      </c>
      <c r="M68" s="525" t="s">
        <v>728</v>
      </c>
      <c r="N68" s="528" t="e">
        <f>+'48 Charity Event and Donation'!#REF!</f>
        <v>#REF!</v>
      </c>
      <c r="O68" s="515">
        <v>48</v>
      </c>
      <c r="Q68" s="537" t="e">
        <f t="shared" si="0"/>
        <v>#REF!</v>
      </c>
      <c r="R68" s="604" t="s">
        <v>742</v>
      </c>
    </row>
    <row r="69" spans="1:18" x14ac:dyDescent="0.2">
      <c r="A69" s="363">
        <v>68</v>
      </c>
      <c r="B69" s="110"/>
      <c r="C69" s="110"/>
      <c r="D69" s="110">
        <v>2000</v>
      </c>
      <c r="E69" s="110"/>
      <c r="F69" s="110">
        <v>200</v>
      </c>
      <c r="G69" s="111"/>
      <c r="H69" s="493"/>
      <c r="I69" s="525" t="s">
        <v>28</v>
      </c>
      <c r="J69" s="537"/>
      <c r="K69" s="537">
        <v>0</v>
      </c>
      <c r="L69" s="527"/>
      <c r="M69" s="525" t="s">
        <v>28</v>
      </c>
      <c r="N69" s="528">
        <f>+'47 Grants'!J10</f>
        <v>0</v>
      </c>
      <c r="O69" s="515">
        <v>47</v>
      </c>
      <c r="Q69" s="537">
        <f t="shared" si="0"/>
        <v>0</v>
      </c>
      <c r="R69" s="604"/>
    </row>
    <row r="70" spans="1:18" x14ac:dyDescent="0.2">
      <c r="A70" s="1">
        <v>69</v>
      </c>
      <c r="B70" s="110">
        <v>189</v>
      </c>
      <c r="C70" s="110">
        <v>172</v>
      </c>
      <c r="D70" s="110">
        <v>553</v>
      </c>
      <c r="E70" s="110">
        <v>18</v>
      </c>
      <c r="F70" s="110">
        <v>40</v>
      </c>
      <c r="G70" s="111">
        <v>161</v>
      </c>
      <c r="H70" s="493">
        <v>100.5</v>
      </c>
      <c r="I70" s="525" t="s">
        <v>53</v>
      </c>
      <c r="J70" s="537">
        <v>51</v>
      </c>
      <c r="K70" s="537">
        <v>175</v>
      </c>
      <c r="L70" s="527">
        <v>301.5</v>
      </c>
      <c r="M70" s="525" t="s">
        <v>53</v>
      </c>
      <c r="N70" s="528">
        <f>+'45 Donations'!J57</f>
        <v>500</v>
      </c>
      <c r="O70" s="515">
        <v>45</v>
      </c>
      <c r="Q70" s="537">
        <f t="shared" si="0"/>
        <v>500</v>
      </c>
      <c r="R70" s="604"/>
    </row>
    <row r="71" spans="1:18" x14ac:dyDescent="0.2">
      <c r="A71" s="363">
        <v>70</v>
      </c>
      <c r="B71" s="110"/>
      <c r="C71" s="110">
        <v>19</v>
      </c>
      <c r="D71" s="110"/>
      <c r="E71" s="110"/>
      <c r="F71" s="110"/>
      <c r="G71" s="111"/>
      <c r="H71" s="493"/>
      <c r="I71" s="525" t="s">
        <v>406</v>
      </c>
      <c r="J71" s="537"/>
      <c r="K71" s="537"/>
      <c r="L71" s="527"/>
      <c r="M71" s="525" t="s">
        <v>406</v>
      </c>
      <c r="N71" s="528">
        <f>+'46 Misc Income'!J8</f>
        <v>0</v>
      </c>
      <c r="O71" s="515">
        <v>46</v>
      </c>
      <c r="Q71" s="537">
        <f t="shared" si="0"/>
        <v>0</v>
      </c>
      <c r="R71" s="604"/>
    </row>
    <row r="72" spans="1:18" x14ac:dyDescent="0.2">
      <c r="A72" s="1">
        <v>71</v>
      </c>
      <c r="B72" s="110"/>
      <c r="C72" s="110">
        <v>40</v>
      </c>
      <c r="D72" s="110">
        <v>591</v>
      </c>
      <c r="E72" s="110">
        <v>248</v>
      </c>
      <c r="F72" s="110">
        <v>34</v>
      </c>
      <c r="G72" s="111">
        <v>41</v>
      </c>
      <c r="H72" s="493">
        <v>56.5</v>
      </c>
      <c r="I72" s="525" t="s">
        <v>54</v>
      </c>
      <c r="J72" s="537">
        <v>4</v>
      </c>
      <c r="K72" s="537">
        <v>0.7</v>
      </c>
      <c r="L72" s="650"/>
      <c r="M72" s="525" t="s">
        <v>54</v>
      </c>
      <c r="N72" s="528" t="e">
        <f>+#REF!</f>
        <v>#REF!</v>
      </c>
      <c r="O72" s="515">
        <v>50</v>
      </c>
      <c r="Q72" s="537" t="e">
        <f t="shared" si="0"/>
        <v>#REF!</v>
      </c>
      <c r="R72" s="604"/>
    </row>
    <row r="73" spans="1:18" x14ac:dyDescent="0.2">
      <c r="A73" s="363">
        <v>72</v>
      </c>
      <c r="B73" s="73"/>
      <c r="C73" s="380"/>
      <c r="D73" s="381"/>
      <c r="E73" s="381"/>
      <c r="F73" s="381"/>
      <c r="G73" s="381"/>
      <c r="H73" s="497"/>
      <c r="I73" s="546" t="s">
        <v>651</v>
      </c>
      <c r="J73" s="537"/>
      <c r="K73" s="537">
        <v>22</v>
      </c>
      <c r="L73" s="527">
        <v>21.04</v>
      </c>
      <c r="M73" s="546" t="s">
        <v>651</v>
      </c>
      <c r="N73" s="528">
        <f>+'49 Yorkshire Savings'!J12</f>
        <v>185</v>
      </c>
      <c r="O73" s="574">
        <v>49</v>
      </c>
      <c r="Q73" s="537">
        <f t="shared" si="0"/>
        <v>185</v>
      </c>
      <c r="R73" s="604"/>
    </row>
    <row r="74" spans="1:18" x14ac:dyDescent="0.2">
      <c r="A74" s="1">
        <v>73</v>
      </c>
      <c r="I74" s="545"/>
      <c r="J74" s="537"/>
      <c r="Q74" s="548"/>
      <c r="R74" s="611"/>
    </row>
    <row r="75" spans="1:18" ht="17" thickBot="1" x14ac:dyDescent="0.25">
      <c r="A75" s="363">
        <v>74</v>
      </c>
      <c r="B75" s="372">
        <f t="shared" ref="B75:K75" si="13">SUM(B70:B74)</f>
        <v>189</v>
      </c>
      <c r="C75" s="372">
        <f t="shared" si="13"/>
        <v>231</v>
      </c>
      <c r="D75" s="372">
        <f t="shared" si="13"/>
        <v>1144</v>
      </c>
      <c r="E75" s="372">
        <f t="shared" si="13"/>
        <v>266</v>
      </c>
      <c r="F75" s="372">
        <f t="shared" si="13"/>
        <v>74</v>
      </c>
      <c r="G75" s="372">
        <f t="shared" si="13"/>
        <v>202</v>
      </c>
      <c r="H75" s="495">
        <f t="shared" si="13"/>
        <v>157</v>
      </c>
      <c r="I75" s="373" t="s">
        <v>55</v>
      </c>
      <c r="J75" s="540">
        <f t="shared" si="13"/>
        <v>55</v>
      </c>
      <c r="K75" s="540">
        <f t="shared" si="13"/>
        <v>197.7</v>
      </c>
      <c r="L75" s="540">
        <f>SUM(L67:L74)</f>
        <v>311.92</v>
      </c>
      <c r="M75" s="373" t="s">
        <v>55</v>
      </c>
      <c r="N75" s="540" t="e">
        <f>SUM(N67:N73)</f>
        <v>#REF!</v>
      </c>
      <c r="O75" s="384"/>
      <c r="Q75" s="540" t="e">
        <f t="shared" si="0"/>
        <v>#REF!</v>
      </c>
      <c r="R75" s="605"/>
    </row>
    <row r="76" spans="1:18" ht="20" thickTop="1" x14ac:dyDescent="0.2">
      <c r="A76" s="1">
        <v>75</v>
      </c>
      <c r="C76" s="385"/>
      <c r="E76" s="385"/>
      <c r="F76" s="385"/>
      <c r="G76" s="385"/>
      <c r="I76" s="2274" t="s">
        <v>750</v>
      </c>
      <c r="J76" s="2275"/>
      <c r="K76" s="2275"/>
      <c r="L76" s="2275"/>
      <c r="M76" s="2275"/>
      <c r="N76" s="2275"/>
      <c r="O76" s="2275"/>
      <c r="P76" s="2275"/>
      <c r="Q76" s="2275"/>
      <c r="R76" s="2276"/>
    </row>
    <row r="77" spans="1:18" x14ac:dyDescent="0.2">
      <c r="A77" s="363">
        <v>76</v>
      </c>
      <c r="B77" s="386" t="s">
        <v>60</v>
      </c>
      <c r="C77" s="387"/>
      <c r="D77" s="388" t="s">
        <v>60</v>
      </c>
      <c r="E77" s="389">
        <v>27083</v>
      </c>
      <c r="F77" s="378">
        <v>5224</v>
      </c>
      <c r="G77" s="378"/>
      <c r="H77" s="498"/>
      <c r="I77" s="549" t="s">
        <v>60</v>
      </c>
      <c r="J77" s="550"/>
      <c r="K77" s="550"/>
      <c r="L77" s="550"/>
      <c r="M77" s="551"/>
      <c r="N77" s="550"/>
      <c r="O77" s="515"/>
      <c r="Q77" s="550">
        <f t="shared" ref="Q77:Q86" si="14">+N77</f>
        <v>0</v>
      </c>
      <c r="R77" s="612"/>
    </row>
    <row r="78" spans="1:18" x14ac:dyDescent="0.2">
      <c r="A78" s="1">
        <v>77</v>
      </c>
      <c r="B78" s="386" t="s">
        <v>400</v>
      </c>
      <c r="C78" s="387"/>
      <c r="D78" s="390" t="s">
        <v>400</v>
      </c>
      <c r="E78" s="389"/>
      <c r="F78" s="378">
        <v>932</v>
      </c>
      <c r="G78" s="378"/>
      <c r="H78" s="498"/>
      <c r="I78" s="552" t="s">
        <v>400</v>
      </c>
      <c r="J78" s="550"/>
      <c r="K78" s="550"/>
      <c r="L78" s="550"/>
      <c r="M78" s="551"/>
      <c r="N78" s="550"/>
      <c r="O78" s="515"/>
      <c r="Q78" s="550">
        <f t="shared" si="14"/>
        <v>0</v>
      </c>
      <c r="R78" s="612"/>
    </row>
    <row r="79" spans="1:18" x14ac:dyDescent="0.2">
      <c r="A79" s="363">
        <v>78</v>
      </c>
      <c r="B79" s="386" t="s">
        <v>401</v>
      </c>
      <c r="C79" s="387"/>
      <c r="D79" s="390" t="s">
        <v>401</v>
      </c>
      <c r="E79" s="389"/>
      <c r="F79" s="378"/>
      <c r="G79" s="378"/>
      <c r="H79" s="498">
        <v>1703</v>
      </c>
      <c r="I79" s="552" t="s">
        <v>401</v>
      </c>
      <c r="J79" s="550"/>
      <c r="K79" s="550"/>
      <c r="L79" s="550"/>
      <c r="M79" s="553"/>
      <c r="N79" s="550"/>
      <c r="O79" s="569"/>
      <c r="Q79" s="550">
        <f t="shared" si="14"/>
        <v>0</v>
      </c>
      <c r="R79" s="612"/>
    </row>
    <row r="80" spans="1:18" x14ac:dyDescent="0.2">
      <c r="A80" s="1">
        <v>79</v>
      </c>
      <c r="B80" s="386" t="s">
        <v>179</v>
      </c>
      <c r="C80" s="387"/>
      <c r="D80" s="390" t="s">
        <v>179</v>
      </c>
      <c r="E80" s="389"/>
      <c r="F80" s="391"/>
      <c r="G80" s="391"/>
      <c r="H80" s="499">
        <v>350</v>
      </c>
      <c r="I80" s="552" t="s">
        <v>179</v>
      </c>
      <c r="J80" s="554"/>
      <c r="K80" s="554"/>
      <c r="L80" s="554"/>
      <c r="M80" s="555"/>
      <c r="N80" s="556"/>
      <c r="O80" s="384"/>
      <c r="Q80" s="554">
        <f t="shared" si="14"/>
        <v>0</v>
      </c>
      <c r="R80" s="613"/>
    </row>
    <row r="81" spans="1:18" x14ac:dyDescent="0.2">
      <c r="A81" s="363">
        <v>80</v>
      </c>
      <c r="B81" s="392" t="s">
        <v>361</v>
      </c>
      <c r="C81" s="393"/>
      <c r="D81" s="394" t="s">
        <v>361</v>
      </c>
      <c r="E81" s="395"/>
      <c r="F81" s="391"/>
      <c r="G81" s="391"/>
      <c r="H81" s="499"/>
      <c r="I81" s="557" t="s">
        <v>361</v>
      </c>
      <c r="J81" s="554">
        <v>2568</v>
      </c>
      <c r="K81" s="554"/>
      <c r="L81" s="554"/>
      <c r="M81" s="551"/>
      <c r="N81" s="556"/>
      <c r="O81" s="515"/>
      <c r="Q81" s="554">
        <f t="shared" si="14"/>
        <v>0</v>
      </c>
      <c r="R81" s="613"/>
    </row>
    <row r="82" spans="1:18" x14ac:dyDescent="0.2">
      <c r="A82" s="1">
        <v>81</v>
      </c>
      <c r="B82" s="396" t="s">
        <v>419</v>
      </c>
      <c r="C82" s="396"/>
      <c r="D82" s="390" t="s">
        <v>419</v>
      </c>
      <c r="E82" s="389"/>
      <c r="F82" s="378"/>
      <c r="G82" s="378"/>
      <c r="H82" s="498"/>
      <c r="I82" s="552" t="s">
        <v>419</v>
      </c>
      <c r="J82" s="550">
        <v>1200</v>
      </c>
      <c r="K82" s="550"/>
      <c r="L82" s="550"/>
      <c r="M82" s="525"/>
      <c r="N82" s="556"/>
      <c r="O82" s="515"/>
      <c r="Q82" s="550">
        <f t="shared" si="14"/>
        <v>0</v>
      </c>
      <c r="R82" s="612"/>
    </row>
    <row r="83" spans="1:18" x14ac:dyDescent="0.2">
      <c r="A83" s="363">
        <v>82</v>
      </c>
      <c r="B83" s="396" t="s">
        <v>422</v>
      </c>
      <c r="C83" s="396"/>
      <c r="D83" s="390" t="s">
        <v>422</v>
      </c>
      <c r="E83" s="389"/>
      <c r="F83" s="378"/>
      <c r="G83" s="378"/>
      <c r="H83" s="498"/>
      <c r="I83" s="552" t="s">
        <v>422</v>
      </c>
      <c r="J83" s="550">
        <v>1920</v>
      </c>
      <c r="K83" s="550"/>
      <c r="L83" s="550"/>
      <c r="M83" s="525"/>
      <c r="N83" s="556"/>
      <c r="O83" s="515"/>
      <c r="Q83" s="550">
        <f t="shared" si="14"/>
        <v>0</v>
      </c>
      <c r="R83" s="612"/>
    </row>
    <row r="84" spans="1:18" x14ac:dyDescent="0.2">
      <c r="A84" s="1">
        <v>83</v>
      </c>
      <c r="B84" s="396"/>
      <c r="C84" s="396"/>
      <c r="D84" s="390" t="s">
        <v>640</v>
      </c>
      <c r="E84" s="389"/>
      <c r="F84" s="378"/>
      <c r="G84" s="378"/>
      <c r="H84" s="498"/>
      <c r="I84" s="552" t="s">
        <v>640</v>
      </c>
      <c r="J84" s="550"/>
      <c r="K84" s="550">
        <v>738</v>
      </c>
      <c r="L84" s="550"/>
      <c r="M84" s="558"/>
      <c r="N84" s="550"/>
      <c r="O84" s="515"/>
      <c r="Q84" s="550">
        <f t="shared" si="14"/>
        <v>0</v>
      </c>
      <c r="R84" s="612"/>
    </row>
    <row r="85" spans="1:18" ht="17" thickBot="1" x14ac:dyDescent="0.25">
      <c r="A85" s="363">
        <v>84</v>
      </c>
      <c r="B85" s="361"/>
      <c r="C85" s="361"/>
      <c r="D85" s="397" t="s">
        <v>696</v>
      </c>
      <c r="E85" s="398"/>
      <c r="F85" s="399"/>
      <c r="G85" s="400"/>
      <c r="H85" s="500"/>
      <c r="I85" s="559" t="s">
        <v>694</v>
      </c>
      <c r="J85" s="560"/>
      <c r="K85" s="550"/>
      <c r="L85" s="527">
        <v>8815.06</v>
      </c>
      <c r="M85" s="559" t="s">
        <v>696</v>
      </c>
      <c r="N85" s="561">
        <v>7000</v>
      </c>
      <c r="O85" s="515"/>
      <c r="Q85" s="550">
        <f t="shared" si="14"/>
        <v>7000</v>
      </c>
      <c r="R85" s="612"/>
    </row>
    <row r="86" spans="1:18" ht="17" thickBot="1" x14ac:dyDescent="0.25">
      <c r="A86" s="1">
        <v>85</v>
      </c>
      <c r="B86" s="401"/>
      <c r="C86" s="402"/>
      <c r="D86" s="403"/>
      <c r="E86" s="404">
        <f t="shared" ref="E86:H86" si="15">SUM(E77:E84)</f>
        <v>27083</v>
      </c>
      <c r="F86" s="404">
        <f t="shared" si="15"/>
        <v>6156</v>
      </c>
      <c r="G86" s="404">
        <f t="shared" si="15"/>
        <v>0</v>
      </c>
      <c r="H86" s="501">
        <f t="shared" si="15"/>
        <v>2053</v>
      </c>
      <c r="I86" s="562"/>
      <c r="J86" s="563">
        <f>SUM(J77:J85)</f>
        <v>5688</v>
      </c>
      <c r="K86" s="563">
        <f t="shared" ref="K86:L86" si="16">SUM(K77:K85)</f>
        <v>738</v>
      </c>
      <c r="L86" s="563">
        <f t="shared" si="16"/>
        <v>8815.06</v>
      </c>
      <c r="M86" s="562"/>
      <c r="N86" s="564">
        <f>SUM(N77:N85)</f>
        <v>7000</v>
      </c>
      <c r="O86" s="565"/>
      <c r="Q86" s="563">
        <f t="shared" si="14"/>
        <v>7000</v>
      </c>
      <c r="R86" s="614"/>
    </row>
    <row r="87" spans="1:18" ht="18" thickTop="1" thickBot="1" x14ac:dyDescent="0.25">
      <c r="A87" s="363">
        <v>86</v>
      </c>
      <c r="C87" s="405"/>
      <c r="E87" s="405"/>
      <c r="F87" s="405"/>
      <c r="G87" s="405"/>
      <c r="H87" s="405"/>
      <c r="I87" s="2277" t="s">
        <v>407</v>
      </c>
      <c r="J87" s="2278"/>
      <c r="K87" s="2278"/>
      <c r="L87" s="2278"/>
      <c r="M87" s="2278"/>
      <c r="N87" s="2278"/>
      <c r="O87" s="2278"/>
      <c r="P87" s="2278"/>
      <c r="Q87" s="2278"/>
      <c r="R87" s="2279"/>
    </row>
    <row r="88" spans="1:18" ht="18" thickTop="1" thickBot="1" x14ac:dyDescent="0.25">
      <c r="A88" s="1">
        <v>87</v>
      </c>
      <c r="B88" s="406">
        <f t="shared" ref="B88:K88" si="17">+B19+B30+B42+B62+B75+B86</f>
        <v>7470</v>
      </c>
      <c r="C88" s="406">
        <f t="shared" si="17"/>
        <v>5252</v>
      </c>
      <c r="D88" s="406">
        <f t="shared" si="17"/>
        <v>9255</v>
      </c>
      <c r="E88" s="406">
        <f t="shared" si="17"/>
        <v>210</v>
      </c>
      <c r="F88" s="406">
        <f t="shared" si="17"/>
        <v>3914</v>
      </c>
      <c r="G88" s="406">
        <f t="shared" si="17"/>
        <v>3677</v>
      </c>
      <c r="H88" s="502">
        <f t="shared" si="17"/>
        <v>6880.4399999999987</v>
      </c>
      <c r="I88" s="566"/>
      <c r="J88" s="567">
        <f t="shared" si="17"/>
        <v>5050.4799999999996</v>
      </c>
      <c r="K88" s="567">
        <f t="shared" si="17"/>
        <v>3999.0199999999995</v>
      </c>
      <c r="L88" s="567">
        <f t="shared" ref="L88" si="18">+L19+L30+L42+L62+L75+L86</f>
        <v>10939.71</v>
      </c>
      <c r="M88" s="566"/>
      <c r="N88" s="567" t="e">
        <f>+N19+N30+N42+N62+N75+N86</f>
        <v>#REF!</v>
      </c>
      <c r="O88" s="568"/>
      <c r="Q88" s="567" t="e">
        <f>+N88</f>
        <v>#REF!</v>
      </c>
      <c r="R88" s="615"/>
    </row>
    <row r="89" spans="1:18" ht="17" thickTop="1" x14ac:dyDescent="0.2">
      <c r="A89" s="363">
        <v>88</v>
      </c>
      <c r="C89" s="376"/>
      <c r="D89" s="488" t="s">
        <v>56</v>
      </c>
      <c r="E89" s="376"/>
      <c r="F89" s="376"/>
      <c r="G89" s="376"/>
      <c r="H89" s="376"/>
      <c r="I89" s="2277" t="s">
        <v>56</v>
      </c>
      <c r="J89" s="2278"/>
      <c r="K89" s="2278"/>
      <c r="L89" s="2278"/>
      <c r="M89" s="2278"/>
      <c r="N89" s="2278"/>
      <c r="O89" s="2278"/>
      <c r="P89" s="2278"/>
      <c r="Q89" s="2278"/>
      <c r="R89" s="2279"/>
    </row>
    <row r="90" spans="1:18" x14ac:dyDescent="0.2">
      <c r="A90" s="1">
        <v>89</v>
      </c>
      <c r="B90" s="111">
        <v>-500</v>
      </c>
      <c r="C90" s="111">
        <v>-500</v>
      </c>
      <c r="D90" s="111">
        <v>-500</v>
      </c>
      <c r="E90" s="111">
        <v>-500</v>
      </c>
      <c r="F90" s="111">
        <v>-500</v>
      </c>
      <c r="G90" s="111">
        <v>-500</v>
      </c>
      <c r="H90" s="493">
        <v>-500</v>
      </c>
      <c r="I90" s="525" t="s">
        <v>744</v>
      </c>
      <c r="J90" s="537">
        <v>-500</v>
      </c>
      <c r="K90" s="550">
        <v>-500</v>
      </c>
      <c r="L90" s="527">
        <v>0</v>
      </c>
      <c r="M90" s="525" t="s">
        <v>726</v>
      </c>
      <c r="N90" s="528" t="e">
        <f>+'51 Depreciation'!#REF!</f>
        <v>#REF!</v>
      </c>
      <c r="O90" s="2266">
        <v>51</v>
      </c>
      <c r="Q90" s="550" t="e">
        <f t="shared" ref="Q90:Q102" si="19">+N90</f>
        <v>#REF!</v>
      </c>
      <c r="R90" s="612"/>
    </row>
    <row r="91" spans="1:18" x14ac:dyDescent="0.2">
      <c r="A91" s="363">
        <v>90</v>
      </c>
      <c r="B91" s="111"/>
      <c r="C91" s="111"/>
      <c r="D91" s="111"/>
      <c r="E91" s="111">
        <v>-108</v>
      </c>
      <c r="F91" s="111">
        <v>-108</v>
      </c>
      <c r="G91" s="111">
        <v>-108</v>
      </c>
      <c r="H91" s="493">
        <v>-108</v>
      </c>
      <c r="I91" s="525" t="s">
        <v>745</v>
      </c>
      <c r="J91" s="537">
        <v>-108</v>
      </c>
      <c r="K91" s="550"/>
      <c r="L91" s="527">
        <v>0</v>
      </c>
      <c r="M91" s="525" t="s">
        <v>629</v>
      </c>
      <c r="N91" s="528" t="e">
        <f>+'51 Depreciation'!#REF!</f>
        <v>#REF!</v>
      </c>
      <c r="O91" s="2267"/>
      <c r="Q91" s="550" t="e">
        <f t="shared" si="19"/>
        <v>#REF!</v>
      </c>
      <c r="R91" s="612"/>
    </row>
    <row r="92" spans="1:18" x14ac:dyDescent="0.2">
      <c r="A92" s="1">
        <v>91</v>
      </c>
      <c r="B92" s="111"/>
      <c r="C92" s="111"/>
      <c r="D92" s="111"/>
      <c r="E92" s="111">
        <v>-156</v>
      </c>
      <c r="F92" s="111">
        <v>-156</v>
      </c>
      <c r="G92" s="111">
        <v>-156</v>
      </c>
      <c r="H92" s="493">
        <v>-156</v>
      </c>
      <c r="I92" s="570" t="s">
        <v>746</v>
      </c>
      <c r="J92" s="537">
        <v>-156</v>
      </c>
      <c r="K92" s="550"/>
      <c r="L92" s="527">
        <v>0</v>
      </c>
      <c r="M92" s="570" t="s">
        <v>630</v>
      </c>
      <c r="N92" s="528" t="e">
        <f>+'51 Depreciation'!#REF!</f>
        <v>#REF!</v>
      </c>
      <c r="O92" s="2267"/>
      <c r="Q92" s="550" t="e">
        <f t="shared" si="19"/>
        <v>#REF!</v>
      </c>
      <c r="R92" s="612"/>
    </row>
    <row r="93" spans="1:18" x14ac:dyDescent="0.2">
      <c r="A93" s="363">
        <v>92</v>
      </c>
      <c r="B93" s="111"/>
      <c r="C93" s="111"/>
      <c r="D93" s="111"/>
      <c r="E93" s="111"/>
      <c r="F93" s="111">
        <v>-186</v>
      </c>
      <c r="G93" s="111">
        <v>-186</v>
      </c>
      <c r="H93" s="493">
        <v>-186</v>
      </c>
      <c r="I93" s="525" t="s">
        <v>747</v>
      </c>
      <c r="J93" s="537">
        <v>-186</v>
      </c>
      <c r="K93" s="550">
        <v>-188</v>
      </c>
      <c r="L93" s="527">
        <v>0</v>
      </c>
      <c r="M93" s="525" t="s">
        <v>727</v>
      </c>
      <c r="N93" s="528" t="e">
        <f>+'51 Depreciation'!#REF!</f>
        <v>#REF!</v>
      </c>
      <c r="O93" s="2267"/>
      <c r="Q93" s="550" t="e">
        <f t="shared" si="19"/>
        <v>#REF!</v>
      </c>
      <c r="R93" s="612"/>
    </row>
    <row r="94" spans="1:18" x14ac:dyDescent="0.2">
      <c r="A94" s="1">
        <v>93</v>
      </c>
      <c r="B94" s="110"/>
      <c r="C94" s="110"/>
      <c r="D94" s="110"/>
      <c r="E94" s="110"/>
      <c r="F94" s="111"/>
      <c r="G94" s="111"/>
      <c r="H94" s="493">
        <v>-70</v>
      </c>
      <c r="I94" s="525" t="s">
        <v>58</v>
      </c>
      <c r="J94" s="537">
        <v>-70</v>
      </c>
      <c r="K94" s="550">
        <v>-70</v>
      </c>
      <c r="L94" s="527">
        <v>-323</v>
      </c>
      <c r="M94" s="525" t="s">
        <v>58</v>
      </c>
      <c r="N94" s="528" t="e">
        <f>+'51 Depreciation'!#REF!</f>
        <v>#REF!</v>
      </c>
      <c r="O94" s="2267"/>
      <c r="Q94" s="550" t="e">
        <f t="shared" si="19"/>
        <v>#REF!</v>
      </c>
      <c r="R94" s="612"/>
    </row>
    <row r="95" spans="1:18" x14ac:dyDescent="0.2">
      <c r="A95" s="363">
        <v>94</v>
      </c>
      <c r="B95" s="110"/>
      <c r="C95" s="110"/>
      <c r="D95" s="110"/>
      <c r="E95" s="110"/>
      <c r="F95" s="111"/>
      <c r="G95" s="111"/>
      <c r="H95" s="493">
        <v>-341</v>
      </c>
      <c r="I95" s="525" t="s">
        <v>59</v>
      </c>
      <c r="J95" s="537">
        <v>-341</v>
      </c>
      <c r="K95" s="550">
        <v>-341</v>
      </c>
      <c r="L95" s="527">
        <v>-70</v>
      </c>
      <c r="M95" s="525" t="s">
        <v>59</v>
      </c>
      <c r="N95" s="528" t="e">
        <f>+'51 Depreciation'!#REF!</f>
        <v>#REF!</v>
      </c>
      <c r="O95" s="2267"/>
      <c r="Q95" s="550" t="e">
        <f t="shared" si="19"/>
        <v>#REF!</v>
      </c>
      <c r="R95" s="612"/>
    </row>
    <row r="96" spans="1:18" x14ac:dyDescent="0.2">
      <c r="A96" s="1">
        <v>95</v>
      </c>
      <c r="B96" s="111"/>
      <c r="C96" s="111"/>
      <c r="D96" s="111"/>
      <c r="E96" s="111"/>
      <c r="F96" s="111"/>
      <c r="G96" s="111"/>
      <c r="H96" s="493"/>
      <c r="I96" s="572" t="s">
        <v>361</v>
      </c>
      <c r="J96" s="537">
        <v>-257</v>
      </c>
      <c r="K96" s="550">
        <v>-257</v>
      </c>
      <c r="L96" s="527">
        <v>-341</v>
      </c>
      <c r="M96" s="571" t="s">
        <v>419</v>
      </c>
      <c r="N96" s="528" t="e">
        <f>+'51 Depreciation'!#REF!</f>
        <v>#REF!</v>
      </c>
      <c r="O96" s="2267"/>
      <c r="Q96" s="550" t="e">
        <f t="shared" si="19"/>
        <v>#REF!</v>
      </c>
      <c r="R96" s="612"/>
    </row>
    <row r="97" spans="1:18" x14ac:dyDescent="0.2">
      <c r="A97" s="363">
        <v>96</v>
      </c>
      <c r="B97" s="110"/>
      <c r="C97" s="110"/>
      <c r="D97" s="110"/>
      <c r="E97" s="110"/>
      <c r="F97" s="111"/>
      <c r="G97" s="111"/>
      <c r="H97" s="493"/>
      <c r="I97" s="571" t="s">
        <v>419</v>
      </c>
      <c r="J97" s="537">
        <v>-240</v>
      </c>
      <c r="K97" s="550">
        <v>-240</v>
      </c>
      <c r="L97" s="527">
        <v>-257</v>
      </c>
      <c r="M97" s="572" t="s">
        <v>361</v>
      </c>
      <c r="N97" s="528" t="e">
        <f>+'51 Depreciation'!#REF!</f>
        <v>#REF!</v>
      </c>
      <c r="O97" s="2267"/>
      <c r="Q97" s="550" t="e">
        <f t="shared" si="19"/>
        <v>#REF!</v>
      </c>
      <c r="R97" s="612"/>
    </row>
    <row r="98" spans="1:18" x14ac:dyDescent="0.2">
      <c r="A98" s="1">
        <v>97</v>
      </c>
      <c r="B98" s="110"/>
      <c r="C98" s="110"/>
      <c r="D98" s="110"/>
      <c r="E98" s="110"/>
      <c r="F98" s="111"/>
      <c r="G98" s="111"/>
      <c r="H98" s="493"/>
      <c r="I98" s="573" t="s">
        <v>640</v>
      </c>
      <c r="J98" s="537"/>
      <c r="K98" s="550">
        <v>-148</v>
      </c>
      <c r="L98" s="527">
        <v>-240</v>
      </c>
      <c r="M98" s="573" t="s">
        <v>422</v>
      </c>
      <c r="N98" s="528" t="e">
        <f>+'51 Depreciation'!#REF!</f>
        <v>#REF!</v>
      </c>
      <c r="O98" s="2267"/>
      <c r="Q98" s="550" t="e">
        <f t="shared" si="19"/>
        <v>#REF!</v>
      </c>
      <c r="R98" s="612"/>
    </row>
    <row r="99" spans="1:18" x14ac:dyDescent="0.2">
      <c r="A99" s="363">
        <v>98</v>
      </c>
      <c r="B99" s="110"/>
      <c r="C99" s="110"/>
      <c r="D99" s="110"/>
      <c r="E99" s="110"/>
      <c r="F99" s="111"/>
      <c r="G99" s="111"/>
      <c r="H99" s="493"/>
      <c r="I99" s="573" t="s">
        <v>422</v>
      </c>
      <c r="J99" s="537">
        <v>-192</v>
      </c>
      <c r="K99" s="550">
        <v>-192</v>
      </c>
      <c r="L99" s="527">
        <v>-148</v>
      </c>
      <c r="M99" s="573" t="s">
        <v>640</v>
      </c>
      <c r="N99" s="528" t="e">
        <f>+'51 Depreciation'!#REF!</f>
        <v>#REF!</v>
      </c>
      <c r="O99" s="2267"/>
      <c r="Q99" s="550" t="e">
        <f t="shared" si="19"/>
        <v>#REF!</v>
      </c>
      <c r="R99" s="612"/>
    </row>
    <row r="100" spans="1:18" x14ac:dyDescent="0.2">
      <c r="A100" s="1">
        <v>99</v>
      </c>
      <c r="B100" s="111"/>
      <c r="C100" s="111"/>
      <c r="D100" s="111"/>
      <c r="E100" s="111"/>
      <c r="F100" s="111">
        <v>-323</v>
      </c>
      <c r="G100" s="111">
        <v>-323</v>
      </c>
      <c r="H100" s="493">
        <v>-323</v>
      </c>
      <c r="I100" s="571" t="s">
        <v>694</v>
      </c>
      <c r="J100" s="537"/>
      <c r="K100" s="550"/>
      <c r="L100" s="527">
        <v>-192</v>
      </c>
      <c r="M100" s="525" t="s">
        <v>60</v>
      </c>
      <c r="N100" s="528" t="e">
        <f>+'51 Depreciation'!#REF!</f>
        <v>#REF!</v>
      </c>
      <c r="O100" s="2267"/>
      <c r="Q100" s="550" t="e">
        <f t="shared" si="19"/>
        <v>#REF!</v>
      </c>
      <c r="R100" s="612"/>
    </row>
    <row r="101" spans="1:18" x14ac:dyDescent="0.2">
      <c r="A101" s="363">
        <v>100</v>
      </c>
      <c r="B101" s="110"/>
      <c r="C101" s="110"/>
      <c r="D101" s="110"/>
      <c r="E101" s="110"/>
      <c r="F101" s="111"/>
      <c r="G101" s="111"/>
      <c r="H101" s="493"/>
      <c r="I101" s="634" t="s">
        <v>60</v>
      </c>
      <c r="J101" s="537">
        <v>-323</v>
      </c>
      <c r="K101" s="550">
        <v>-323</v>
      </c>
      <c r="L101" s="527">
        <v>-441</v>
      </c>
      <c r="M101" s="573" t="s">
        <v>654</v>
      </c>
      <c r="N101" s="528" t="e">
        <f>+'51 Depreciation'!#REF!</f>
        <v>#REF!</v>
      </c>
      <c r="O101" s="2268"/>
      <c r="Q101" s="550" t="e">
        <f t="shared" si="19"/>
        <v>#REF!</v>
      </c>
      <c r="R101" s="612" t="s">
        <v>743</v>
      </c>
    </row>
    <row r="102" spans="1:18" ht="17" thickBot="1" x14ac:dyDescent="0.25">
      <c r="A102" s="1">
        <v>101</v>
      </c>
      <c r="B102" s="372">
        <f t="shared" ref="B102:K102" si="20">SUM(B90:B101)</f>
        <v>-500</v>
      </c>
      <c r="C102" s="372">
        <f t="shared" si="20"/>
        <v>-500</v>
      </c>
      <c r="D102" s="372">
        <f t="shared" si="20"/>
        <v>-500</v>
      </c>
      <c r="E102" s="372">
        <f t="shared" si="20"/>
        <v>-764</v>
      </c>
      <c r="F102" s="372">
        <f t="shared" si="20"/>
        <v>-1273</v>
      </c>
      <c r="G102" s="372">
        <f t="shared" si="20"/>
        <v>-1273</v>
      </c>
      <c r="H102" s="495">
        <f t="shared" si="20"/>
        <v>-1684</v>
      </c>
      <c r="I102" s="575" t="s">
        <v>61</v>
      </c>
      <c r="J102" s="540">
        <f t="shared" si="20"/>
        <v>-2373</v>
      </c>
      <c r="K102" s="540">
        <f t="shared" si="20"/>
        <v>-2259</v>
      </c>
      <c r="L102" s="651">
        <f>SUM(L90:L101)</f>
        <v>-2012</v>
      </c>
      <c r="M102" s="575" t="s">
        <v>61</v>
      </c>
      <c r="N102" s="576" t="e">
        <f>SUM(N90:N101)</f>
        <v>#REF!</v>
      </c>
      <c r="O102" s="374"/>
      <c r="Q102" s="540" t="e">
        <f t="shared" si="19"/>
        <v>#REF!</v>
      </c>
      <c r="R102" s="605"/>
    </row>
    <row r="103" spans="1:18" ht="15" customHeight="1" thickTop="1" x14ac:dyDescent="0.2">
      <c r="A103" s="363">
        <v>102</v>
      </c>
      <c r="B103" s="407"/>
      <c r="C103" s="379"/>
      <c r="D103" s="489"/>
      <c r="E103" s="405"/>
      <c r="F103" s="405"/>
      <c r="G103" s="405"/>
      <c r="I103" s="2262" t="s">
        <v>364</v>
      </c>
      <c r="J103" s="2263"/>
      <c r="K103" s="2263"/>
      <c r="L103" s="2263"/>
      <c r="M103" s="2263"/>
      <c r="N103" s="2263"/>
      <c r="O103" s="2263"/>
      <c r="P103" s="2263"/>
      <c r="Q103" s="2263"/>
      <c r="R103" s="2264"/>
    </row>
    <row r="104" spans="1:18" hidden="1" x14ac:dyDescent="0.2">
      <c r="A104" s="1">
        <v>103</v>
      </c>
      <c r="C104" s="405"/>
      <c r="D104" s="489"/>
      <c r="E104" s="405"/>
      <c r="F104" s="405"/>
      <c r="G104" s="405"/>
      <c r="H104" s="405"/>
      <c r="I104" s="489"/>
      <c r="J104" s="405"/>
      <c r="K104" s="405"/>
      <c r="L104" s="405"/>
      <c r="M104" s="405"/>
      <c r="N104" s="405"/>
      <c r="O104" s="405"/>
      <c r="P104" s="405"/>
      <c r="Q104" s="491"/>
      <c r="R104" s="606"/>
    </row>
    <row r="105" spans="1:18" ht="17" thickBot="1" x14ac:dyDescent="0.25">
      <c r="A105" s="363">
        <v>104</v>
      </c>
      <c r="B105" s="408">
        <f t="shared" ref="B105:L105" si="21">+B88+B102</f>
        <v>6970</v>
      </c>
      <c r="C105" s="408">
        <f t="shared" si="21"/>
        <v>4752</v>
      </c>
      <c r="D105" s="408">
        <f t="shared" si="21"/>
        <v>8755</v>
      </c>
      <c r="E105" s="408">
        <f t="shared" si="21"/>
        <v>-554</v>
      </c>
      <c r="F105" s="408">
        <f t="shared" si="21"/>
        <v>2641</v>
      </c>
      <c r="G105" s="408">
        <f t="shared" si="21"/>
        <v>2404</v>
      </c>
      <c r="H105" s="503">
        <f t="shared" si="21"/>
        <v>5196.4399999999987</v>
      </c>
      <c r="I105" s="577"/>
      <c r="J105" s="578">
        <f t="shared" si="21"/>
        <v>2677.4799999999996</v>
      </c>
      <c r="K105" s="578">
        <f t="shared" si="21"/>
        <v>1740.0199999999995</v>
      </c>
      <c r="L105" s="578">
        <f t="shared" si="21"/>
        <v>8927.7099999999991</v>
      </c>
      <c r="M105" s="577">
        <v>2018</v>
      </c>
      <c r="N105" s="579" t="e">
        <f>+N88+N102</f>
        <v>#REF!</v>
      </c>
      <c r="O105" s="580"/>
      <c r="Q105" s="578" t="e">
        <f>+N105</f>
        <v>#REF!</v>
      </c>
      <c r="R105" s="616"/>
    </row>
    <row r="106" spans="1:18" ht="17" thickTop="1" x14ac:dyDescent="0.2">
      <c r="A106" s="1">
        <v>105</v>
      </c>
      <c r="B106" s="409"/>
      <c r="C106" s="410"/>
      <c r="D106" s="486" t="s">
        <v>564</v>
      </c>
      <c r="E106" s="487"/>
      <c r="F106" s="487"/>
      <c r="G106" s="487"/>
      <c r="H106" s="487"/>
      <c r="I106" s="2204" t="s">
        <v>564</v>
      </c>
      <c r="J106" s="2205"/>
      <c r="K106" s="2205"/>
      <c r="L106" s="2205"/>
      <c r="M106" s="2205"/>
      <c r="N106" s="2205"/>
      <c r="O106" s="2205"/>
      <c r="P106" s="2205"/>
      <c r="Q106" s="2205"/>
      <c r="R106" s="2280"/>
    </row>
    <row r="107" spans="1:18" x14ac:dyDescent="0.2">
      <c r="A107" s="363">
        <v>106</v>
      </c>
      <c r="D107" s="2269" t="s">
        <v>416</v>
      </c>
      <c r="E107" s="2270"/>
      <c r="F107" s="2271"/>
      <c r="G107" s="8">
        <v>2015</v>
      </c>
      <c r="H107" s="426">
        <v>2016</v>
      </c>
      <c r="I107" s="581"/>
      <c r="J107" s="581">
        <v>2017</v>
      </c>
      <c r="K107" s="582">
        <v>2018</v>
      </c>
      <c r="L107" s="582">
        <v>2019</v>
      </c>
      <c r="M107" s="2272">
        <v>2019</v>
      </c>
      <c r="N107" s="2273"/>
      <c r="Q107" s="583">
        <v>2019</v>
      </c>
      <c r="R107" s="617"/>
    </row>
    <row r="108" spans="1:18" x14ac:dyDescent="0.2">
      <c r="A108" s="1">
        <v>107</v>
      </c>
      <c r="C108" s="156"/>
      <c r="D108" s="412" t="s">
        <v>627</v>
      </c>
      <c r="E108" s="119"/>
      <c r="F108" s="413"/>
      <c r="G108" s="111">
        <f>+G31+G63+G75+G86</f>
        <v>3677</v>
      </c>
      <c r="H108" s="493">
        <f>+H31+H63+H75+H86</f>
        <v>6880.4399999999987</v>
      </c>
      <c r="I108" s="584" t="s">
        <v>484</v>
      </c>
      <c r="J108" s="550">
        <f t="shared" ref="J108:K108" si="22">+J19</f>
        <v>7806.23</v>
      </c>
      <c r="K108" s="550">
        <f t="shared" si="22"/>
        <v>7357.0700000000006</v>
      </c>
      <c r="L108" s="550">
        <f t="shared" ref="L108" si="23">+L19</f>
        <v>6554.79</v>
      </c>
      <c r="M108" s="584" t="s">
        <v>484</v>
      </c>
      <c r="N108" s="550">
        <f>+N19</f>
        <v>7590</v>
      </c>
      <c r="O108" s="515"/>
      <c r="Q108" s="550">
        <f t="shared" ref="Q108" si="24">+Q19</f>
        <v>7590</v>
      </c>
      <c r="R108" s="612"/>
    </row>
    <row r="109" spans="1:18" x14ac:dyDescent="0.2">
      <c r="A109" s="363">
        <v>108</v>
      </c>
      <c r="C109" s="156"/>
      <c r="D109" s="414" t="s">
        <v>413</v>
      </c>
      <c r="E109" s="415"/>
      <c r="F109" s="416"/>
      <c r="G109" s="111">
        <f>+G102</f>
        <v>-1273</v>
      </c>
      <c r="H109" s="493">
        <f>+H102</f>
        <v>-1684</v>
      </c>
      <c r="I109" s="584" t="s">
        <v>485</v>
      </c>
      <c r="J109" s="585">
        <f t="shared" ref="J109:K109" si="25">+J30</f>
        <v>-10983</v>
      </c>
      <c r="K109" s="585">
        <f t="shared" si="25"/>
        <v>-5954.3600000000006</v>
      </c>
      <c r="L109" s="585">
        <f t="shared" ref="L109" si="26">+L30</f>
        <v>-5818.27</v>
      </c>
      <c r="M109" s="584" t="s">
        <v>485</v>
      </c>
      <c r="N109" s="585" t="e">
        <f>+N30</f>
        <v>#REF!</v>
      </c>
      <c r="O109" s="515"/>
      <c r="Q109" s="585" t="e">
        <f t="shared" ref="Q109" si="27">+Q30</f>
        <v>#REF!</v>
      </c>
      <c r="R109" s="612"/>
    </row>
    <row r="110" spans="1:18" ht="17" thickBot="1" x14ac:dyDescent="0.25">
      <c r="A110" s="1">
        <v>109</v>
      </c>
      <c r="C110" s="156"/>
      <c r="D110" s="417" t="s">
        <v>414</v>
      </c>
      <c r="E110" s="418"/>
      <c r="F110" s="419"/>
      <c r="G110" s="121">
        <f>SUM(G108:G109)</f>
        <v>2404</v>
      </c>
      <c r="H110" s="504">
        <f>SUM(H108:H109)</f>
        <v>5196.4399999999987</v>
      </c>
      <c r="I110" s="584" t="s">
        <v>486</v>
      </c>
      <c r="J110" s="550">
        <f t="shared" ref="J110:K110" si="28">+J42</f>
        <v>6138.25</v>
      </c>
      <c r="K110" s="550">
        <f t="shared" si="28"/>
        <v>6194.69</v>
      </c>
      <c r="L110" s="550">
        <f t="shared" ref="L110" si="29">+L42</f>
        <v>4819.07</v>
      </c>
      <c r="M110" s="584" t="s">
        <v>486</v>
      </c>
      <c r="N110" s="550">
        <f>+N42</f>
        <v>6050</v>
      </c>
      <c r="O110" s="515"/>
      <c r="Q110" s="550">
        <f t="shared" ref="Q110" si="30">+Q42</f>
        <v>6050</v>
      </c>
      <c r="R110" s="612"/>
    </row>
    <row r="111" spans="1:18" ht="17" thickTop="1" x14ac:dyDescent="0.2">
      <c r="A111" s="363">
        <v>110</v>
      </c>
      <c r="C111" s="156"/>
      <c r="D111" s="420" t="s">
        <v>415</v>
      </c>
      <c r="E111" s="421"/>
      <c r="F111" s="422"/>
      <c r="G111" s="117"/>
      <c r="H111" s="505"/>
      <c r="I111" s="584" t="s">
        <v>35</v>
      </c>
      <c r="J111" s="550">
        <f t="shared" ref="J111:K111" si="31">+J62</f>
        <v>-3654</v>
      </c>
      <c r="K111" s="550">
        <f t="shared" si="31"/>
        <v>-4534.08</v>
      </c>
      <c r="L111" s="550">
        <f t="shared" ref="L111" si="32">+L62</f>
        <v>-3742.8599999999997</v>
      </c>
      <c r="M111" s="584" t="s">
        <v>35</v>
      </c>
      <c r="N111" s="550" t="e">
        <f>+N62</f>
        <v>#REF!</v>
      </c>
      <c r="O111" s="515"/>
      <c r="Q111" s="550" t="e">
        <f t="shared" ref="Q111" si="33">+Q62</f>
        <v>#REF!</v>
      </c>
      <c r="R111" s="612"/>
    </row>
    <row r="112" spans="1:18" x14ac:dyDescent="0.2">
      <c r="A112" s="1">
        <v>111</v>
      </c>
      <c r="C112" s="156"/>
      <c r="D112" s="414" t="s">
        <v>410</v>
      </c>
      <c r="E112" s="415"/>
      <c r="F112" s="416"/>
      <c r="G112" s="111">
        <v>10991</v>
      </c>
      <c r="H112" s="493">
        <f>+G121</f>
        <v>14668</v>
      </c>
      <c r="I112" s="586" t="s">
        <v>731</v>
      </c>
      <c r="J112" s="585">
        <f>+J86</f>
        <v>5688</v>
      </c>
      <c r="K112" s="585">
        <f>+K86</f>
        <v>738</v>
      </c>
      <c r="L112" s="585">
        <f>+L86</f>
        <v>8815.06</v>
      </c>
      <c r="M112" s="586" t="s">
        <v>697</v>
      </c>
      <c r="N112" s="585">
        <v>7000</v>
      </c>
      <c r="O112" s="515"/>
      <c r="Q112" s="585">
        <f>+Q86</f>
        <v>7000</v>
      </c>
      <c r="R112" s="612"/>
    </row>
    <row r="113" spans="1:18" ht="17" thickBot="1" x14ac:dyDescent="0.25">
      <c r="C113" s="156"/>
      <c r="D113" s="414"/>
      <c r="E113" s="415"/>
      <c r="F113" s="416"/>
      <c r="G113" s="111"/>
      <c r="H113" s="493"/>
      <c r="I113" s="587" t="s">
        <v>417</v>
      </c>
      <c r="J113" s="554">
        <f t="shared" ref="J113:K113" si="34">+J75</f>
        <v>55</v>
      </c>
      <c r="K113" s="554">
        <f t="shared" si="34"/>
        <v>197.7</v>
      </c>
      <c r="L113" s="554">
        <f t="shared" ref="L113" si="35">+L75</f>
        <v>311.92</v>
      </c>
      <c r="M113" s="587" t="s">
        <v>417</v>
      </c>
      <c r="N113" s="554" t="e">
        <f>+N75</f>
        <v>#REF!</v>
      </c>
      <c r="O113" s="569"/>
      <c r="Q113" s="554" t="e">
        <f t="shared" ref="Q113" si="36">+Q75</f>
        <v>#REF!</v>
      </c>
      <c r="R113" s="613"/>
    </row>
    <row r="114" spans="1:18" ht="17" thickTop="1" x14ac:dyDescent="0.2">
      <c r="A114" s="363">
        <v>112</v>
      </c>
      <c r="C114" s="156"/>
      <c r="D114" s="414" t="s">
        <v>626</v>
      </c>
      <c r="E114" s="415"/>
      <c r="F114" s="416"/>
      <c r="G114" s="111"/>
      <c r="H114" s="493">
        <v>-2053</v>
      </c>
      <c r="I114" s="588" t="s">
        <v>488</v>
      </c>
      <c r="J114" s="589">
        <f>SUM(J108:J113)</f>
        <v>5050.4799999999996</v>
      </c>
      <c r="K114" s="589">
        <f>SUM(K108:K113)</f>
        <v>3999.0199999999995</v>
      </c>
      <c r="L114" s="589">
        <f>SUM(L108:L113)-L112</f>
        <v>2124.6499999999996</v>
      </c>
      <c r="M114" s="588" t="s">
        <v>488</v>
      </c>
      <c r="N114" s="589" t="e">
        <f>SUM(N108:N113)</f>
        <v>#REF!</v>
      </c>
      <c r="O114" s="590"/>
      <c r="Q114" s="589" t="e">
        <f>+N114</f>
        <v>#REF!</v>
      </c>
      <c r="R114" s="618"/>
    </row>
    <row r="115" spans="1:18" x14ac:dyDescent="0.2">
      <c r="A115" s="1">
        <v>113</v>
      </c>
      <c r="D115" s="9" t="s">
        <v>361</v>
      </c>
      <c r="E115" s="45"/>
      <c r="F115" s="2265">
        <f>SUM(J114:J116)</f>
        <v>5354.9599999999991</v>
      </c>
      <c r="G115" s="111"/>
      <c r="H115" s="493"/>
      <c r="I115" s="591" t="s">
        <v>413</v>
      </c>
      <c r="J115" s="550">
        <f t="shared" ref="J115:L115" si="37">+J102</f>
        <v>-2373</v>
      </c>
      <c r="K115" s="550">
        <f t="shared" si="37"/>
        <v>-2259</v>
      </c>
      <c r="L115" s="550">
        <f t="shared" si="37"/>
        <v>-2012</v>
      </c>
      <c r="M115" s="591" t="s">
        <v>413</v>
      </c>
      <c r="N115" s="550" t="e">
        <f>+N102</f>
        <v>#REF!</v>
      </c>
      <c r="O115" s="574"/>
      <c r="Q115" s="550" t="e">
        <f>+N115</f>
        <v>#REF!</v>
      </c>
      <c r="R115" s="612"/>
    </row>
    <row r="116" spans="1:18" ht="17" thickBot="1" x14ac:dyDescent="0.25">
      <c r="A116" s="363">
        <v>114</v>
      </c>
      <c r="D116" s="9" t="s">
        <v>419</v>
      </c>
      <c r="E116" s="45"/>
      <c r="F116" s="2265"/>
      <c r="G116" s="111"/>
      <c r="H116" s="493"/>
      <c r="I116" s="592" t="s">
        <v>487</v>
      </c>
      <c r="J116" s="593">
        <f t="shared" ref="J116:K116" si="38">SUM(J114:J115)</f>
        <v>2677.4799999999996</v>
      </c>
      <c r="K116" s="593">
        <f t="shared" si="38"/>
        <v>1740.0199999999995</v>
      </c>
      <c r="L116" s="593">
        <f t="shared" ref="L116" si="39">SUM(L114:L115)</f>
        <v>112.64999999999964</v>
      </c>
      <c r="M116" s="592" t="s">
        <v>487</v>
      </c>
      <c r="N116" s="594" t="e">
        <f>SUM(N114:N115)</f>
        <v>#REF!</v>
      </c>
      <c r="O116" s="595"/>
      <c r="Q116" s="593" t="e">
        <f>+N116</f>
        <v>#REF!</v>
      </c>
      <c r="R116" s="619"/>
    </row>
    <row r="117" spans="1:18" ht="18" thickTop="1" thickBot="1" x14ac:dyDescent="0.25">
      <c r="A117" s="1">
        <v>115</v>
      </c>
      <c r="D117" s="9" t="s">
        <v>422</v>
      </c>
      <c r="E117" s="45"/>
      <c r="F117" s="2265"/>
      <c r="G117" s="111"/>
      <c r="H117" s="493"/>
      <c r="I117" s="367"/>
      <c r="J117" s="627"/>
      <c r="K117" s="627"/>
      <c r="L117" s="627"/>
      <c r="M117" s="367"/>
      <c r="N117" s="628"/>
      <c r="Q117" s="627"/>
      <c r="R117" s="629"/>
    </row>
    <row r="118" spans="1:18" ht="17" thickTop="1" x14ac:dyDescent="0.2">
      <c r="A118" s="363">
        <v>116</v>
      </c>
      <c r="D118" s="135" t="s">
        <v>640</v>
      </c>
      <c r="E118" s="120"/>
      <c r="F118" s="485"/>
      <c r="G118" s="111"/>
      <c r="H118" s="493"/>
      <c r="I118" s="654" t="s">
        <v>751</v>
      </c>
      <c r="J118" s="652"/>
      <c r="K118" s="653"/>
      <c r="L118" s="301"/>
      <c r="M118" s="1"/>
      <c r="N118" s="1"/>
      <c r="O118" s="1"/>
      <c r="P118" s="1"/>
      <c r="Q118" s="1"/>
      <c r="R118" s="1"/>
    </row>
    <row r="119" spans="1:18" ht="15" x14ac:dyDescent="0.2">
      <c r="A119" s="1">
        <v>117</v>
      </c>
      <c r="D119" s="9" t="s">
        <v>411</v>
      </c>
      <c r="E119" s="120"/>
      <c r="F119" s="482"/>
      <c r="G119" s="111">
        <f>+G108</f>
        <v>3677</v>
      </c>
      <c r="H119" s="493">
        <f>+H108</f>
        <v>6880.4399999999987</v>
      </c>
      <c r="I119" s="632" t="s">
        <v>752</v>
      </c>
      <c r="J119" s="655"/>
      <c r="K119" s="656"/>
      <c r="L119" s="6">
        <v>-8581.06</v>
      </c>
      <c r="M119" s="1"/>
      <c r="N119" s="1"/>
      <c r="O119" s="1"/>
      <c r="P119" s="1"/>
      <c r="Q119" s="1"/>
      <c r="R119" s="1"/>
    </row>
    <row r="120" spans="1:18" ht="15" x14ac:dyDescent="0.2">
      <c r="A120" s="363">
        <v>118</v>
      </c>
      <c r="D120" s="9" t="s">
        <v>652</v>
      </c>
      <c r="E120" s="120"/>
      <c r="F120" s="482"/>
      <c r="G120" s="290"/>
      <c r="H120" s="626"/>
      <c r="I120" s="633" t="s">
        <v>753</v>
      </c>
      <c r="J120" s="657"/>
      <c r="K120" s="657"/>
      <c r="L120" s="299">
        <v>-8815.06</v>
      </c>
      <c r="M120" s="1"/>
      <c r="N120" s="1"/>
      <c r="O120" s="1"/>
      <c r="P120" s="1"/>
      <c r="Q120" s="1"/>
      <c r="R120" s="1"/>
    </row>
    <row r="121" spans="1:18" thickBot="1" x14ac:dyDescent="0.25">
      <c r="A121" s="1">
        <v>119</v>
      </c>
      <c r="C121" s="72"/>
      <c r="D121" s="83" t="s">
        <v>628</v>
      </c>
      <c r="E121" s="483"/>
      <c r="F121" s="484"/>
      <c r="G121" s="42">
        <f>SUM(G112:G119)</f>
        <v>14668</v>
      </c>
      <c r="H121" s="42">
        <f>SUM(H112:H120)</f>
        <v>19495.439999999999</v>
      </c>
      <c r="I121" s="377" t="s">
        <v>754</v>
      </c>
      <c r="J121" s="12"/>
      <c r="K121" s="657"/>
      <c r="L121" s="6">
        <v>-234</v>
      </c>
      <c r="M121" s="1"/>
      <c r="N121" s="1"/>
      <c r="O121" s="1"/>
      <c r="P121" s="1"/>
      <c r="Q121" s="1"/>
      <c r="R121" s="1"/>
    </row>
    <row r="122" spans="1:18" ht="17" thickTop="1" thickBot="1" x14ac:dyDescent="0.25">
      <c r="I122" s="658" t="s">
        <v>755</v>
      </c>
      <c r="J122" s="332"/>
      <c r="K122" s="332"/>
      <c r="L122" s="6">
        <v>-8815.06</v>
      </c>
      <c r="M122" s="1"/>
      <c r="N122" s="1"/>
      <c r="O122" s="1"/>
      <c r="P122" s="1"/>
      <c r="Q122" s="1"/>
      <c r="R122" s="1"/>
    </row>
    <row r="123" spans="1:18" ht="17" thickTop="1" thickBot="1" x14ac:dyDescent="0.25">
      <c r="I123" s="661" t="s">
        <v>756</v>
      </c>
      <c r="J123" s="659"/>
      <c r="K123" s="660"/>
      <c r="L123" s="73"/>
      <c r="M123" s="1"/>
      <c r="N123" s="1"/>
      <c r="O123" s="1"/>
      <c r="P123" s="1"/>
      <c r="Q123" s="1"/>
      <c r="R123" s="1"/>
    </row>
    <row r="124" spans="1:18" ht="17" thickTop="1" x14ac:dyDescent="0.2">
      <c r="M124" s="1"/>
      <c r="N124" s="1"/>
      <c r="O124" s="1"/>
      <c r="P124" s="1"/>
      <c r="Q124" s="1"/>
      <c r="R124" s="1"/>
    </row>
  </sheetData>
  <autoFilter ref="A8:P121" xr:uid="{A0D89D1F-D027-4378-BC79-227D652BF339}">
    <filterColumn colId="9" showButton="0"/>
    <filterColumn colId="12" showButton="0"/>
  </autoFilter>
  <mergeCells count="21">
    <mergeCell ref="I32:R32"/>
    <mergeCell ref="F115:F117"/>
    <mergeCell ref="O90:O101"/>
    <mergeCell ref="D107:F107"/>
    <mergeCell ref="M107:N107"/>
    <mergeCell ref="I76:R76"/>
    <mergeCell ref="I87:R87"/>
    <mergeCell ref="I89:R89"/>
    <mergeCell ref="I103:R103"/>
    <mergeCell ref="I106:R106"/>
    <mergeCell ref="I65:R65"/>
    <mergeCell ref="B11:B12"/>
    <mergeCell ref="C11:C12"/>
    <mergeCell ref="I3:R3"/>
    <mergeCell ref="I4:R4"/>
    <mergeCell ref="I5:R5"/>
    <mergeCell ref="I6:R6"/>
    <mergeCell ref="I9:R9"/>
    <mergeCell ref="J8:K8"/>
    <mergeCell ref="M7:N7"/>
    <mergeCell ref="M8:N8"/>
  </mergeCells>
  <conditionalFormatting sqref="B77:C84">
    <cfRule type="cellIs" dxfId="213" priority="139" operator="equal">
      <formula>0</formula>
    </cfRule>
  </conditionalFormatting>
  <conditionalFormatting sqref="B103:D103">
    <cfRule type="cellIs" dxfId="212" priority="169" operator="equal">
      <formula>0</formula>
    </cfRule>
  </conditionalFormatting>
  <conditionalFormatting sqref="B34:H42 B86:H86">
    <cfRule type="cellIs" dxfId="211" priority="163" operator="equal">
      <formula>0</formula>
    </cfRule>
  </conditionalFormatting>
  <conditionalFormatting sqref="B61:H63">
    <cfRule type="cellIs" dxfId="210" priority="161" operator="equal">
      <formula>0</formula>
    </cfRule>
  </conditionalFormatting>
  <conditionalFormatting sqref="B90:K102">
    <cfRule type="cellIs" dxfId="209" priority="104" operator="equal">
      <formula>0</formula>
    </cfRule>
  </conditionalFormatting>
  <conditionalFormatting sqref="D11">
    <cfRule type="cellIs" dxfId="208" priority="170" operator="equal">
      <formula>0</formula>
    </cfRule>
  </conditionalFormatting>
  <conditionalFormatting sqref="D118">
    <cfRule type="cellIs" dxfId="207" priority="125" operator="equal">
      <formula>0</formula>
    </cfRule>
  </conditionalFormatting>
  <conditionalFormatting sqref="D9:H9">
    <cfRule type="cellIs" dxfId="206" priority="171" operator="equal">
      <formula>0</formula>
    </cfRule>
  </conditionalFormatting>
  <conditionalFormatting sqref="D2:O2 B7:L7">
    <cfRule type="cellIs" dxfId="205" priority="39" operator="equal">
      <formula>0</formula>
    </cfRule>
  </conditionalFormatting>
  <conditionalFormatting sqref="F11">
    <cfRule type="cellIs" dxfId="204" priority="174" operator="equal">
      <formula>0</formula>
    </cfRule>
  </conditionalFormatting>
  <conditionalFormatting sqref="G108:H109">
    <cfRule type="cellIs" dxfId="203" priority="112" operator="equal">
      <formula>0</formula>
    </cfRule>
  </conditionalFormatting>
  <conditionalFormatting sqref="G112:H119">
    <cfRule type="cellIs" dxfId="202" priority="111" operator="equal">
      <formula>0</formula>
    </cfRule>
  </conditionalFormatting>
  <conditionalFormatting sqref="H77:H84 J77:J84">
    <cfRule type="cellIs" dxfId="201" priority="140" operator="equal">
      <formula>0</formula>
    </cfRule>
  </conditionalFormatting>
  <conditionalFormatting sqref="I6">
    <cfRule type="cellIs" dxfId="200" priority="75" operator="equal">
      <formula>0</formula>
    </cfRule>
  </conditionalFormatting>
  <conditionalFormatting sqref="I11:I19 B21:K31 I34:I39 I41:I63 B67:I72 I75:I76 I86:I87 I100:K100 B105:O105 I115">
    <cfRule type="cellIs" dxfId="199" priority="109" operator="equal">
      <formula>0</formula>
    </cfRule>
  </conditionalFormatting>
  <conditionalFormatting sqref="I40">
    <cfRule type="cellIs" dxfId="198" priority="106" operator="equal">
      <formula>0</formula>
    </cfRule>
  </conditionalFormatting>
  <conditionalFormatting sqref="I73">
    <cfRule type="cellIs" dxfId="197" priority="103" operator="equal">
      <formula>0</formula>
    </cfRule>
  </conditionalFormatting>
  <conditionalFormatting sqref="I103">
    <cfRule type="cellIs" dxfId="196" priority="74" operator="equal">
      <formula>0</formula>
    </cfRule>
  </conditionalFormatting>
  <conditionalFormatting sqref="I106:I113">
    <cfRule type="cellIs" dxfId="195" priority="101" operator="equal">
      <formula>0</formula>
    </cfRule>
  </conditionalFormatting>
  <conditionalFormatting sqref="I118:I119 D6 M7:M8 D8:J8 E11:E15 G11:H15 B13:D15 F13:F15 B16:H19 M34:M39 N34:N42 M41:M42 B44:H49 M44:O63 G50:H50 B50:F60 G51 G52:H58 G59:G60 C64:H64 I65 M67:O72 N73 B75:H75 J86:O86 B88:H88 N88 D106:D107 N108 N110:N115">
    <cfRule type="cellIs" dxfId="194" priority="175" operator="equal">
      <formula>0</formula>
    </cfRule>
  </conditionalFormatting>
  <conditionalFormatting sqref="I123">
    <cfRule type="cellIs" dxfId="193" priority="1" operator="equal">
      <formula>0</formula>
    </cfRule>
  </conditionalFormatting>
  <conditionalFormatting sqref="J67:J75">
    <cfRule type="cellIs" dxfId="192" priority="129" operator="equal">
      <formula>0</formula>
    </cfRule>
  </conditionalFormatting>
  <conditionalFormatting sqref="J44:K50 J52:K58 J61:K63">
    <cfRule type="cellIs" dxfId="191" priority="114" operator="equal">
      <formula>0</formula>
    </cfRule>
  </conditionalFormatting>
  <conditionalFormatting sqref="J113:K115 L115:M115">
    <cfRule type="cellIs" dxfId="190" priority="102" operator="equal">
      <formula>0</formula>
    </cfRule>
  </conditionalFormatting>
  <conditionalFormatting sqref="J19:L19">
    <cfRule type="cellIs" dxfId="189" priority="40" operator="equal">
      <formula>0</formula>
    </cfRule>
  </conditionalFormatting>
  <conditionalFormatting sqref="J42:L42">
    <cfRule type="cellIs" dxfId="188" priority="32" operator="equal">
      <formula>0</formula>
    </cfRule>
  </conditionalFormatting>
  <conditionalFormatting sqref="J88:L88">
    <cfRule type="cellIs" dxfId="187" priority="28" operator="equal">
      <formula>0</formula>
    </cfRule>
  </conditionalFormatting>
  <conditionalFormatting sqref="J108:L108 J110:L112 L113:L114">
    <cfRule type="cellIs" dxfId="186" priority="21" operator="equal">
      <formula>0</formula>
    </cfRule>
  </conditionalFormatting>
  <conditionalFormatting sqref="J117:L117">
    <cfRule type="cellIs" dxfId="185" priority="22" operator="equal">
      <formula>0</formula>
    </cfRule>
  </conditionalFormatting>
  <conditionalFormatting sqref="K11:K13">
    <cfRule type="cellIs" dxfId="184" priority="126" operator="equal">
      <formula>0</formula>
    </cfRule>
  </conditionalFormatting>
  <conditionalFormatting sqref="K67:K73">
    <cfRule type="cellIs" dxfId="183" priority="113" operator="equal">
      <formula>0</formula>
    </cfRule>
  </conditionalFormatting>
  <conditionalFormatting sqref="K77:K85">
    <cfRule type="cellIs" dxfId="182" priority="130" operator="equal">
      <formula>0</formula>
    </cfRule>
  </conditionalFormatting>
  <conditionalFormatting sqref="K75:O75">
    <cfRule type="cellIs" dxfId="181" priority="30" operator="equal">
      <formula>0</formula>
    </cfRule>
  </conditionalFormatting>
  <conditionalFormatting sqref="L11:L18">
    <cfRule type="cellIs" dxfId="180" priority="35" operator="equal">
      <formula>0</formula>
    </cfRule>
  </conditionalFormatting>
  <conditionalFormatting sqref="L21:L29">
    <cfRule type="cellIs" dxfId="179" priority="13" operator="equal">
      <formula>0</formula>
    </cfRule>
  </conditionalFormatting>
  <conditionalFormatting sqref="L30:L31">
    <cfRule type="cellIs" dxfId="178" priority="33" operator="equal">
      <formula>0</formula>
    </cfRule>
  </conditionalFormatting>
  <conditionalFormatting sqref="L34:L41">
    <cfRule type="cellIs" dxfId="177" priority="11" operator="equal">
      <formula>0</formula>
    </cfRule>
  </conditionalFormatting>
  <conditionalFormatting sqref="L44:L61">
    <cfRule type="cellIs" dxfId="176" priority="9" operator="equal">
      <formula>0</formula>
    </cfRule>
  </conditionalFormatting>
  <conditionalFormatting sqref="L62:L63">
    <cfRule type="cellIs" dxfId="175" priority="31" operator="equal">
      <formula>0</formula>
    </cfRule>
  </conditionalFormatting>
  <conditionalFormatting sqref="L85">
    <cfRule type="cellIs" dxfId="174" priority="6" operator="equal">
      <formula>0</formula>
    </cfRule>
  </conditionalFormatting>
  <conditionalFormatting sqref="L102">
    <cfRule type="cellIs" dxfId="173" priority="27" operator="equal">
      <formula>0</formula>
    </cfRule>
  </conditionalFormatting>
  <conditionalFormatting sqref="L73:M73">
    <cfRule type="cellIs" dxfId="172" priority="133" operator="equal">
      <formula>0</formula>
    </cfRule>
  </conditionalFormatting>
  <conditionalFormatting sqref="L77:N84">
    <cfRule type="cellIs" dxfId="171" priority="37" operator="equal">
      <formula>0</formula>
    </cfRule>
  </conditionalFormatting>
  <conditionalFormatting sqref="M40 L67:L71 L90:L101 I118:L123">
    <cfRule type="cellIs" dxfId="170" priority="151" operator="equal">
      <formula>0</formula>
    </cfRule>
  </conditionalFormatting>
  <conditionalFormatting sqref="M90:M102">
    <cfRule type="cellIs" dxfId="169" priority="142" operator="equal">
      <formula>0</formula>
    </cfRule>
  </conditionalFormatting>
  <conditionalFormatting sqref="M107:M113">
    <cfRule type="cellIs" dxfId="168" priority="158" operator="equal">
      <formula>0</formula>
    </cfRule>
  </conditionalFormatting>
  <conditionalFormatting sqref="N1">
    <cfRule type="cellIs" dxfId="167" priority="110" operator="equal">
      <formula>0</formula>
    </cfRule>
  </conditionalFormatting>
  <conditionalFormatting sqref="N85">
    <cfRule type="cellIs" dxfId="166" priority="116" operator="equal">
      <formula>0</formula>
    </cfRule>
  </conditionalFormatting>
  <conditionalFormatting sqref="N90:N101">
    <cfRule type="cellIs" dxfId="165" priority="141" operator="equal">
      <formula>0</formula>
    </cfRule>
  </conditionalFormatting>
  <conditionalFormatting sqref="O7:O8 M11:O19 M21:O31 O34:O39 O41:O42 O90 O102 O115">
    <cfRule type="cellIs" dxfId="164" priority="138" operator="equal">
      <formula>0</formula>
    </cfRule>
  </conditionalFormatting>
  <conditionalFormatting sqref="O40">
    <cfRule type="cellIs" dxfId="163" priority="135" operator="equal">
      <formula>0</formula>
    </cfRule>
  </conditionalFormatting>
  <conditionalFormatting sqref="O77:O85">
    <cfRule type="cellIs" dxfId="162" priority="134" operator="equal">
      <formula>0</formula>
    </cfRule>
  </conditionalFormatting>
  <conditionalFormatting sqref="O107:O113">
    <cfRule type="cellIs" dxfId="161" priority="137" operator="equal">
      <formula>0</formula>
    </cfRule>
  </conditionalFormatting>
  <conditionalFormatting sqref="Q2:R2">
    <cfRule type="cellIs" dxfId="160" priority="69" operator="equal">
      <formula>0</formula>
    </cfRule>
  </conditionalFormatting>
  <conditionalFormatting sqref="Q7:R8">
    <cfRule type="cellIs" dxfId="159" priority="48" operator="equal">
      <formula>0</formula>
    </cfRule>
  </conditionalFormatting>
  <conditionalFormatting sqref="Q11:R13">
    <cfRule type="cellIs" dxfId="158" priority="64" operator="equal">
      <formula>0</formula>
    </cfRule>
  </conditionalFormatting>
  <conditionalFormatting sqref="Q19:R19">
    <cfRule type="cellIs" dxfId="157" priority="70" operator="equal">
      <formula>0</formula>
    </cfRule>
  </conditionalFormatting>
  <conditionalFormatting sqref="Q21:R31">
    <cfRule type="cellIs" dxfId="156" priority="55" operator="equal">
      <formula>0</formula>
    </cfRule>
  </conditionalFormatting>
  <conditionalFormatting sqref="Q42:R42">
    <cfRule type="cellIs" dxfId="155" priority="62" operator="equal">
      <formula>0</formula>
    </cfRule>
  </conditionalFormatting>
  <conditionalFormatting sqref="Q44:R50 Q52:R58 Q61:R63">
    <cfRule type="cellIs" dxfId="154" priority="54" operator="equal">
      <formula>0</formula>
    </cfRule>
  </conditionalFormatting>
  <conditionalFormatting sqref="Q67:R73">
    <cfRule type="cellIs" dxfId="153" priority="53" operator="equal">
      <formula>0</formula>
    </cfRule>
  </conditionalFormatting>
  <conditionalFormatting sqref="Q75:R75">
    <cfRule type="cellIs" dxfId="152" priority="60" operator="equal">
      <formula>0</formula>
    </cfRule>
  </conditionalFormatting>
  <conditionalFormatting sqref="Q77:R86">
    <cfRule type="cellIs" dxfId="151" priority="49" operator="equal">
      <formula>0</formula>
    </cfRule>
  </conditionalFormatting>
  <conditionalFormatting sqref="Q88:R88">
    <cfRule type="cellIs" dxfId="150" priority="58" operator="equal">
      <formula>0</formula>
    </cfRule>
  </conditionalFormatting>
  <conditionalFormatting sqref="Q90:R102">
    <cfRule type="cellIs" dxfId="149" priority="57" operator="equal">
      <formula>0</formula>
    </cfRule>
  </conditionalFormatting>
  <conditionalFormatting sqref="Q105:R105">
    <cfRule type="cellIs" dxfId="148" priority="56" operator="equal">
      <formula>0</formula>
    </cfRule>
  </conditionalFormatting>
  <conditionalFormatting sqref="Q108:R108 Q110:R115">
    <cfRule type="cellIs" dxfId="147" priority="47" operator="equal">
      <formula>0</formula>
    </cfRule>
  </conditionalFormatting>
  <conditionalFormatting sqref="Q117:R117">
    <cfRule type="cellIs" dxfId="146" priority="80" operator="equal">
      <formula>0</formula>
    </cfRule>
  </conditionalFormatting>
  <hyperlinks>
    <hyperlink ref="N21" location="'11 Green Maintenance'!A1" display="'11 Green Maintenance'!A1" xr:uid="{2F81C61B-1520-46D6-BFF4-1577958123A1}"/>
    <hyperlink ref="N22" location="'12 Green Rent'!A1" display="'12 Green Rent'!A1" xr:uid="{4AF001BF-5824-4774-A294-0D3B39BF8D85}"/>
    <hyperlink ref="N23" location="'13 Equip Maintenance - &amp; Petrol'!A1" display="'13 Equip Maintenance - &amp; Petrol'!A1" xr:uid="{B6E9D629-ADA4-4E32-975C-9E9A2D866363}"/>
    <hyperlink ref="N24" location="'14 New Equipment'!A1" display="'14 New Equipment'!A1" xr:uid="{1676C0AF-CB14-4264-BA41-1BC747016C73}"/>
    <hyperlink ref="N25" location="'15 Bowls Equipment'!A1" display="'15 Bowls Equipment'!A1" xr:uid="{638FD29D-03A3-47F8-91A6-88EEDFDA97A5}"/>
    <hyperlink ref="N26" location="'16 Trophies &amp; Prizes'!A1" display="'16 Trophies &amp; Prizes'!A1" xr:uid="{828E1C0A-D9D3-4658-85E8-F1D25A2EA40B}"/>
    <hyperlink ref="N27" location="'17 League Fees'!A1" display="'17 League Fees'!A1" xr:uid="{0D1BB6C9-2496-4B99-8859-2D7C74A23B09}"/>
    <hyperlink ref="N28" location="'18 Raffle Prizes'!A1" display="'18 Raffle Prizes'!A1" xr:uid="{95C3B5AE-8EC8-4E09-A0D7-5067ED564FF4}"/>
    <hyperlink ref="N29" location="'19 Sprinkler System'!A1" display="'19 Sprinkler System'!A1" xr:uid="{AC860CAF-23BB-43B2-A288-71A4BD622CAA}"/>
    <hyperlink ref="N34" location="'20 Annual Dinner'!A1" display="'20 Annual Dinner'!A1" xr:uid="{E004A3F6-12EC-4ED3-9697-5FF171F40B45}"/>
    <hyperlink ref="N35" location="'21 Plant Sale'!A1" display="'21 Plant Sale'!A1" xr:uid="{7EEC2B97-5E29-4E9C-A6A1-AB2C80553EF2}"/>
    <hyperlink ref="N36" location="'22 Quiz Nights'!A1" display="'22 Quiz Nights'!A1" xr:uid="{6F8324B4-48FA-4EDE-9ABF-A08B30C02BEC}"/>
    <hyperlink ref="N37" location="'23 Race Night'!A1" display="'23 Race Night'!A1" xr:uid="{E7EB3446-B13B-4772-885C-1DC4BCB18288}"/>
    <hyperlink ref="N38" location="'24 Social Events - Other'!A1" display="'24 Social Events - Other'!A1" xr:uid="{3FE6B6B2-E33A-4DDE-916E-78856EE4FC34}"/>
    <hyperlink ref="N39" location="'25 Sale of Books &amp; Noteletts'!A1" display="'25 Sale of Books &amp; Noteletts'!A1" xr:uid="{EDF9C74E-8034-4381-87BF-32223A4ED9AC}"/>
    <hyperlink ref="N40" location="'26 100 Quiz'!A1" display="'26 100 Quiz'!A1" xr:uid="{485925CD-DE20-4A00-92FB-0CEB62A62757}"/>
    <hyperlink ref="N41" location="'27 LAV'!A1" display="'27 LAV'!A1" xr:uid="{4DF5A5BF-3717-4DA2-984B-31D11863BF6C}"/>
    <hyperlink ref="N44" location="'28 Insurance'!A1" display="'28 Insurance'!A1" xr:uid="{FB6B18A5-3522-41D4-8040-E098C9E6330C}"/>
    <hyperlink ref="N45" location="'29 Electricity'!A1" display="'29 Electricity'!A1" xr:uid="{E34FE67D-DED6-49C5-933C-5D482165CAE1}"/>
    <hyperlink ref="N46" location="'30 Hire of Hall'!A1" display="'30 Hire of Hall'!A1" xr:uid="{0E71507C-6EA6-4321-88C8-FB810DC2466A}"/>
    <hyperlink ref="N47" location="'31 Security'!A1" display="'31 Security'!A1" xr:uid="{0A9DFA61-FEEE-4A23-9986-747E7BD31B4A}"/>
    <hyperlink ref="N48" location="'32 General Maintenance'!A1" display="'32 General Maintenance'!A1" xr:uid="{5CE3E8E7-BC39-4EAF-A26A-CF242EB460CD}"/>
    <hyperlink ref="N49" location="'33 Water'!A1" display="'33 Water'!A1" xr:uid="{CABD4694-D98A-4053-A996-C16126092180}"/>
    <hyperlink ref="N50" location="'34 Waste Disposal'!A1" display="'34 Waste Disposal'!A1" xr:uid="{655CB4E9-29C8-43AD-8C27-4DD94132FF72}"/>
    <hyperlink ref="N59" location="'35 Marque'!A1" display="'35 Marque'!A1" xr:uid="{B0334A48-2037-45B9-8176-B9685A574A85}"/>
    <hyperlink ref="N51" location="'36 General Catering'!A1" display="'36 General Catering'!A1" xr:uid="{6AB16844-526D-41D9-B65C-82EEDACAEF8A}"/>
    <hyperlink ref="N52" location="'37 General Stationery'!A1" display="'37 General Stationery'!A1" xr:uid="{32F15E27-8239-4CFC-B78F-056368E12503}"/>
    <hyperlink ref="N53" location="'38 Website Domain &amp; Hosting'!A1" display="'38 Website Domain &amp; Hosting'!A1" xr:uid="{5F778B0A-3ED2-4548-B981-5E628B7583A6}"/>
    <hyperlink ref="N54" location="'39 Misc Expenses'!A1" display="'39 Misc Expenses'!A1" xr:uid="{D12D34C5-8DBD-4003-A20A-890C66E2458A}"/>
    <hyperlink ref="N60" location="'40 Health &amp; Safety'!A1" display="'40 Health &amp; Safety'!A1" xr:uid="{8330F97B-A5A4-4B9C-AAA8-06EB86FA882D}"/>
    <hyperlink ref="N55" location="'41 Memorial Benches'!A1" display="'41 Memorial Benches'!A1" xr:uid="{54667519-D53A-497F-94E6-6CCEC2C94A3D}"/>
    <hyperlink ref="N56" location="'42 Petty Cash'!A1" display="'42 Petty Cash'!A1" xr:uid="{D8424761-EFAC-4841-8054-4440F082297B}"/>
    <hyperlink ref="N57" location="'43 New Tea Room'!A1" display="'43 New Tea Room'!A1" xr:uid="{A4DFBD89-9C69-409E-A7F6-7FE7C2EB591E}"/>
    <hyperlink ref="N58" location="'43a New Store Building'!A1" display="'43a New Store Building'!A1" xr:uid="{460D3941-6EB8-4D0C-B6A2-F609CE2A7E59}"/>
    <hyperlink ref="N61" location="'44 Misc Equipment '!A1" display="'44 Misc Equipment '!A1" xr:uid="{D39D629A-1431-440E-9F82-1033A9EAFF39}"/>
    <hyperlink ref="N67" location="'48 Charity Event and Donation'!A1" display="'48 Charity Event and Donation'!A1" xr:uid="{CC1ADFAB-602E-4276-AF8E-A0C861376A1D}"/>
    <hyperlink ref="N68" location="'48 Charity Event and Donation'!A1" display="'48 Charity Event and Donation'!A1" xr:uid="{5007FFFC-2D2C-47CE-B73F-94994DC953AD}"/>
    <hyperlink ref="N69" location="'47 Grants'!A1" display="'47 Grants'!A1" xr:uid="{C55CB4F6-B150-4EAA-800D-1A45BD2D6B10}"/>
    <hyperlink ref="N70" location="'45 Donations'!A1" display="'45 Donations'!A1" xr:uid="{EE865205-4069-42C9-9861-353856548D37}"/>
    <hyperlink ref="N71" location="'46 Misc Income'!Print_Area" display="'46 Misc Income'!Print_Area" xr:uid="{D9A708B6-48BD-4D32-A0D4-718EDA686ACB}"/>
    <hyperlink ref="N72" location="'50 Scottish Widows Interest'!A1" display="'50 Scottish Widows Interest'!A1" xr:uid="{EAC7A496-6474-48B2-B0F0-CD3EE386B8C6}"/>
    <hyperlink ref="N73" location="'49 Yorkshire Savings'!A1" display="'49 Yorkshire Savings'!A1" xr:uid="{E338ECE9-46A8-478B-B30C-76DC3CC1DC50}"/>
    <hyperlink ref="N91" location="'51 Depreciation'!Print_Area" display="'51 Depreciation'!Print_Area" xr:uid="{E6A12842-0885-45A8-AE26-6C571216D5D0}"/>
    <hyperlink ref="N90" location="'51 Depreciation'!A1" display="'51 Depreciation'!A1" xr:uid="{0E7933A2-8D1F-42E7-AA04-A9D088610028}"/>
    <hyperlink ref="N90:N101" location="'51 Depreciation'!A1" display="'51 Depreciation'!A1" xr:uid="{CC58471B-67EA-4E95-AA02-546BFC8B6F41}"/>
    <hyperlink ref="N18" location="'10 Spring Triples'!A1" display="'10 Spring Triples'!A1" xr:uid="{A9195124-5F1A-4679-8C60-8007F41D28FE}"/>
    <hyperlink ref="N17" location="'09 Bowls Events'!A1" display="'09 Bowls Events'!A1" xr:uid="{29668B5D-BDE3-41C0-8940-54900686C7D1}"/>
    <hyperlink ref="N16" location="'08 Competition Fees'!A1" display="'08 Competition Fees'!A1" xr:uid="{3FEC6D2A-0569-493B-A43F-A88F875F1A09}"/>
    <hyperlink ref="N15" location="'07 Home Game Raffles'!A1" display="'07 Home Game Raffles'!A1" xr:uid="{2195F7D3-5443-4CC8-9F36-FD3EAD210280}"/>
    <hyperlink ref="N14" location="'06 Rink Fees'!A1" display="'06 Rink Fees'!A1" xr:uid="{EC5F82C5-A768-4FCE-A47E-E21B2BE09E2A}"/>
    <hyperlink ref="N13" location="'03-05 Subs &amp; Joining Fee'!A1" display="'03-05 Subs &amp; Joining Fee'!A1" xr:uid="{7C0FB7C6-B033-466E-B3F8-FD7035FB0BBA}"/>
    <hyperlink ref="N12" location="'03-05 Subs &amp; Joining Fee'!A1" display="'03-05 Subs &amp; Joining Fee'!A1" xr:uid="{2F000170-2F89-49E7-9E27-CE44DBA7F98F}"/>
    <hyperlink ref="N11" location="'03-05 Subs &amp; Joining Fee'!A1" display="'03-05 Subs &amp; Joining Fee'!A1" xr:uid="{12E02EB2-D538-4463-8872-FFD78F471843}"/>
  </hyperlinks>
  <printOptions horizontalCentered="1"/>
  <pageMargins left="0.70866141732283472" right="0.27559055118110237" top="0.54" bottom="0.27559055118110237" header="0.31496062992125984" footer="0.31496062992125984"/>
  <pageSetup paperSize="9" scale="72" fitToHeight="2" orientation="portrait" r:id="rId1"/>
  <rowBreaks count="1" manualBreakCount="1">
    <brk id="75" min="8" max="16"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tabColor rgb="FF00FF00"/>
    <pageSetUpPr fitToPage="1"/>
  </sheetPr>
  <dimension ref="B1:J11"/>
  <sheetViews>
    <sheetView zoomScaleNormal="100" zoomScaleSheetLayoutView="100" workbookViewId="0">
      <pane ySplit="6" topLeftCell="A7" activePane="bottomLeft" state="frozen"/>
      <selection activeCell="B1" sqref="B1:J1"/>
      <selection pane="bottomLeft" activeCell="B1" sqref="B1:J1"/>
    </sheetView>
  </sheetViews>
  <sheetFormatPr baseColWidth="10" defaultColWidth="10.83203125" defaultRowHeight="15" x14ac:dyDescent="0.2"/>
  <cols>
    <col min="1" max="1" width="3.33203125" style="2" customWidth="1"/>
    <col min="2" max="2" width="39.1640625" style="2" bestFit="1" customWidth="1"/>
    <col min="3" max="6" width="7.83203125" style="2" hidden="1" customWidth="1"/>
    <col min="7" max="10" width="7.83203125" style="2" bestFit="1" customWidth="1"/>
    <col min="11" max="16384" width="10.83203125" style="2"/>
  </cols>
  <sheetData>
    <row r="1" spans="2:10" s="1683" customFormat="1" ht="24" x14ac:dyDescent="0.2">
      <c r="B1" s="2289" t="s">
        <v>725</v>
      </c>
      <c r="C1" s="2289"/>
      <c r="D1" s="2289"/>
      <c r="E1" s="2289"/>
      <c r="F1" s="2289"/>
      <c r="G1" s="2289"/>
      <c r="H1" s="2289"/>
      <c r="I1" s="2289"/>
      <c r="J1" s="2289"/>
    </row>
    <row r="2" spans="2:10" ht="16" x14ac:dyDescent="0.2">
      <c r="B2" s="2606" t="s">
        <v>959</v>
      </c>
      <c r="C2" s="2606"/>
      <c r="D2" s="2606"/>
      <c r="E2" s="2606"/>
      <c r="F2" s="2606"/>
      <c r="G2" s="2606"/>
      <c r="H2" s="2606"/>
      <c r="I2" s="2606"/>
      <c r="J2" s="2606"/>
    </row>
    <row r="3" spans="2:10" ht="16" x14ac:dyDescent="0.2">
      <c r="B3" s="2607" t="s">
        <v>2</v>
      </c>
      <c r="C3" s="2607"/>
      <c r="D3" s="2607"/>
      <c r="E3" s="2607"/>
      <c r="F3" s="2607"/>
      <c r="G3" s="2607"/>
      <c r="H3" s="2607"/>
      <c r="I3" s="2607"/>
      <c r="J3" s="2607"/>
    </row>
    <row r="4" spans="2:10" x14ac:dyDescent="0.2">
      <c r="B4" s="73"/>
      <c r="C4" s="1308" t="s">
        <v>481</v>
      </c>
      <c r="D4" s="1308" t="s">
        <v>481</v>
      </c>
      <c r="E4" s="1308" t="s">
        <v>481</v>
      </c>
      <c r="F4" s="1308" t="s">
        <v>481</v>
      </c>
      <c r="G4" s="2323" t="s">
        <v>481</v>
      </c>
      <c r="H4" s="2323"/>
      <c r="I4" s="2323"/>
      <c r="J4" s="1473" t="s">
        <v>519</v>
      </c>
    </row>
    <row r="5" spans="2:10" x14ac:dyDescent="0.2">
      <c r="B5" s="73"/>
      <c r="C5" s="812">
        <v>2018</v>
      </c>
      <c r="D5" s="812">
        <v>2019</v>
      </c>
      <c r="E5" s="317">
        <v>2020</v>
      </c>
      <c r="F5" s="812">
        <v>2021</v>
      </c>
      <c r="G5" s="812">
        <v>2022</v>
      </c>
      <c r="H5" s="812">
        <v>2023</v>
      </c>
      <c r="I5" s="812">
        <v>2024</v>
      </c>
      <c r="J5" s="812">
        <v>2025</v>
      </c>
    </row>
    <row r="6" spans="2:10" ht="32" x14ac:dyDescent="0.2">
      <c r="B6" s="342" t="s">
        <v>638</v>
      </c>
      <c r="C6" s="916">
        <v>1215</v>
      </c>
      <c r="D6" s="708">
        <v>600</v>
      </c>
      <c r="E6" s="708">
        <v>210</v>
      </c>
      <c r="F6" s="2608">
        <v>0</v>
      </c>
      <c r="G6" s="1315">
        <v>850.71</v>
      </c>
      <c r="H6" s="1316">
        <v>554</v>
      </c>
      <c r="I6" s="1316">
        <v>0</v>
      </c>
      <c r="J6" s="1409">
        <v>0</v>
      </c>
    </row>
    <row r="7" spans="2:10" ht="16" thickBot="1" x14ac:dyDescent="0.25">
      <c r="B7" s="1009" t="s">
        <v>757</v>
      </c>
      <c r="C7" s="917"/>
      <c r="D7" s="726"/>
      <c r="E7" s="726"/>
      <c r="F7" s="2609"/>
      <c r="G7" s="729"/>
      <c r="H7" s="1294"/>
      <c r="I7" s="1294"/>
      <c r="J7" s="1408">
        <f>SUM(J6)</f>
        <v>0</v>
      </c>
    </row>
    <row r="8" spans="2:10" ht="16" thickTop="1" x14ac:dyDescent="0.2">
      <c r="B8" s="1010" t="s">
        <v>898</v>
      </c>
      <c r="C8" s="1011"/>
      <c r="D8" s="728"/>
      <c r="E8" s="728"/>
      <c r="F8" s="728">
        <v>250</v>
      </c>
      <c r="G8" s="728"/>
      <c r="H8" s="728"/>
      <c r="I8" s="728"/>
      <c r="J8" s="1098"/>
    </row>
    <row r="9" spans="2:10" x14ac:dyDescent="0.2">
      <c r="B9" s="737" t="s">
        <v>897</v>
      </c>
      <c r="C9" s="916"/>
      <c r="D9" s="708"/>
      <c r="E9" s="708"/>
      <c r="F9" s="708"/>
      <c r="G9" s="708">
        <v>-830</v>
      </c>
      <c r="H9" s="708"/>
      <c r="I9" s="708"/>
      <c r="J9" s="1099"/>
    </row>
    <row r="10" spans="2:10" x14ac:dyDescent="0.2">
      <c r="B10" s="737"/>
      <c r="C10" s="916"/>
      <c r="D10" s="708"/>
      <c r="E10" s="708"/>
      <c r="F10" s="708"/>
      <c r="G10" s="708"/>
      <c r="H10" s="708">
        <v>-554</v>
      </c>
      <c r="I10" s="708">
        <v>0</v>
      </c>
      <c r="J10" s="1150">
        <v>0</v>
      </c>
    </row>
    <row r="11" spans="2:10" x14ac:dyDescent="0.2">
      <c r="B11" s="737"/>
      <c r="C11" s="916"/>
      <c r="D11" s="708"/>
      <c r="E11" s="708"/>
      <c r="F11" s="708">
        <f>SUM(F8:F9)</f>
        <v>250</v>
      </c>
      <c r="G11" s="708">
        <f>SUM(G8:G9)</f>
        <v>-830</v>
      </c>
      <c r="H11" s="1096">
        <v>-554</v>
      </c>
      <c r="I11" s="1096">
        <v>0</v>
      </c>
      <c r="J11" s="973">
        <f>SUM(J10)</f>
        <v>0</v>
      </c>
    </row>
  </sheetData>
  <sortState xmlns:xlrd2="http://schemas.microsoft.com/office/spreadsheetml/2017/richdata2" ref="A8:J11">
    <sortCondition ref="B8:B11"/>
  </sortState>
  <mergeCells count="5">
    <mergeCell ref="B1:J1"/>
    <mergeCell ref="B2:J2"/>
    <mergeCell ref="B3:J3"/>
    <mergeCell ref="F6:F7"/>
    <mergeCell ref="G4:I4"/>
  </mergeCells>
  <conditionalFormatting sqref="B1">
    <cfRule type="cellIs" dxfId="4" priority="4" operator="equal">
      <formula>0</formula>
    </cfRule>
  </conditionalFormatting>
  <conditionalFormatting sqref="B7:B11">
    <cfRule type="cellIs" dxfId="3" priority="1" operator="equal">
      <formula>0</formula>
    </cfRule>
  </conditionalFormatting>
  <hyperlinks>
    <hyperlink ref="B1" location="Summary!A1" display="Summary!A1" xr:uid="{20DD2E2D-BCDF-4406-B6AC-A89ADF61A154}"/>
    <hyperlink ref="J7" location="Summary!T69" display="Summary!T69" xr:uid="{D4B14341-DB50-42D3-BEB3-94F333342EBB}"/>
    <hyperlink ref="J11" location="Summary!T70" display="Summary!T70" xr:uid="{23D605D6-BACD-40E1-A8A9-B4558FDC753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10855-7D67-4BCB-AB86-527F90CABFD5}">
  <sheetPr codeName="Sheet50">
    <tabColor rgb="FF00FF00"/>
    <pageSetUpPr fitToPage="1"/>
  </sheetPr>
  <dimension ref="B1:O19"/>
  <sheetViews>
    <sheetView zoomScaleNormal="100" zoomScaleSheetLayoutView="100" workbookViewId="0">
      <pane xSplit="2" ySplit="3" topLeftCell="G4" activePane="bottomRight" state="frozen"/>
      <selection activeCell="B1" sqref="B1:W1"/>
      <selection pane="topRight" activeCell="B1" sqref="B1:W1"/>
      <selection pane="bottomLeft" activeCell="B1" sqref="B1:W1"/>
      <selection pane="bottomRight" activeCell="B1" sqref="B1:W1"/>
    </sheetView>
  </sheetViews>
  <sheetFormatPr baseColWidth="10" defaultColWidth="8.83203125" defaultRowHeight="15" x14ac:dyDescent="0.2"/>
  <cols>
    <col min="1" max="1" width="5.1640625" style="14" customWidth="1"/>
    <col min="2" max="2" width="38.6640625" style="14" customWidth="1"/>
    <col min="3" max="6" width="8.5" style="14" hidden="1" customWidth="1"/>
    <col min="7" max="10" width="8.5" style="14" customWidth="1"/>
    <col min="11" max="11" width="3.6640625" style="14" customWidth="1"/>
    <col min="12" max="12" width="10.5" style="14" bestFit="1" customWidth="1"/>
    <col min="13" max="13" width="26.33203125" style="14" bestFit="1" customWidth="1"/>
    <col min="14" max="14" width="7.33203125" style="14" bestFit="1" customWidth="1"/>
    <col min="15" max="15" width="7.5" style="14" bestFit="1" customWidth="1"/>
    <col min="16" max="16384" width="8.83203125" style="14"/>
  </cols>
  <sheetData>
    <row r="1" spans="2:15" s="1909" customFormat="1" ht="24" x14ac:dyDescent="0.2">
      <c r="B1" s="2289" t="s">
        <v>725</v>
      </c>
      <c r="C1" s="2289"/>
      <c r="D1" s="2289"/>
      <c r="E1" s="2289"/>
      <c r="F1" s="2289"/>
      <c r="G1" s="2289"/>
      <c r="H1" s="2289"/>
      <c r="I1" s="2289"/>
      <c r="J1" s="2289"/>
      <c r="K1" s="1683" t="s">
        <v>1111</v>
      </c>
    </row>
    <row r="2" spans="2:15" ht="16" x14ac:dyDescent="0.2">
      <c r="B2" s="2530" t="s">
        <v>964</v>
      </c>
      <c r="C2" s="2530"/>
      <c r="D2" s="2530"/>
      <c r="E2" s="2530"/>
      <c r="F2" s="2530"/>
      <c r="G2" s="2530"/>
      <c r="H2" s="2530"/>
      <c r="I2" s="2530"/>
      <c r="J2" s="2530"/>
    </row>
    <row r="3" spans="2:15" x14ac:dyDescent="0.2">
      <c r="B3" s="18"/>
      <c r="C3" s="1310" t="s">
        <v>481</v>
      </c>
      <c r="D3" s="1310" t="s">
        <v>481</v>
      </c>
      <c r="E3" s="1310" t="s">
        <v>481</v>
      </c>
      <c r="F3" s="1310" t="s">
        <v>481</v>
      </c>
      <c r="G3" s="2420" t="s">
        <v>481</v>
      </c>
      <c r="H3" s="2420"/>
      <c r="I3" s="2420"/>
      <c r="J3" s="1478" t="s">
        <v>519</v>
      </c>
    </row>
    <row r="4" spans="2:15" x14ac:dyDescent="0.2">
      <c r="B4" s="18"/>
      <c r="C4" s="845">
        <v>2018</v>
      </c>
      <c r="D4" s="845">
        <v>2019</v>
      </c>
      <c r="E4" s="845">
        <v>2020</v>
      </c>
      <c r="F4" s="845">
        <v>2021</v>
      </c>
      <c r="G4" s="845">
        <v>2022</v>
      </c>
      <c r="H4" s="845">
        <v>2023</v>
      </c>
      <c r="I4" s="845">
        <v>2024</v>
      </c>
      <c r="J4" s="845">
        <v>2025</v>
      </c>
    </row>
    <row r="5" spans="2:15" x14ac:dyDescent="0.2">
      <c r="B5" s="18" t="s">
        <v>639</v>
      </c>
      <c r="C5" s="965">
        <v>22</v>
      </c>
      <c r="D5" s="965">
        <v>27</v>
      </c>
      <c r="E5" s="966">
        <v>12</v>
      </c>
      <c r="F5" s="966">
        <v>1</v>
      </c>
      <c r="G5" s="966">
        <v>23.19</v>
      </c>
      <c r="H5" s="1100">
        <v>157</v>
      </c>
      <c r="I5" s="1100">
        <v>239</v>
      </c>
      <c r="J5" s="992">
        <v>185</v>
      </c>
      <c r="L5" s="2107">
        <v>45382</v>
      </c>
      <c r="M5" s="1693" t="s">
        <v>1383</v>
      </c>
      <c r="N5" s="1692" t="s">
        <v>639</v>
      </c>
      <c r="O5" s="2108">
        <v>61.31</v>
      </c>
    </row>
    <row r="6" spans="2:15" x14ac:dyDescent="0.2">
      <c r="B6" s="18"/>
      <c r="C6" s="967"/>
      <c r="D6" s="967"/>
      <c r="E6" s="967"/>
      <c r="F6" s="967"/>
      <c r="G6" s="967"/>
      <c r="H6" s="1100"/>
      <c r="I6" s="1100"/>
      <c r="J6" s="1100"/>
      <c r="L6" s="2107">
        <v>45473</v>
      </c>
      <c r="M6" s="1693" t="s">
        <v>1383</v>
      </c>
      <c r="N6" s="1692" t="s">
        <v>639</v>
      </c>
      <c r="O6" s="2108">
        <v>61.51</v>
      </c>
    </row>
    <row r="7" spans="2:15" x14ac:dyDescent="0.2">
      <c r="B7" s="18"/>
      <c r="C7" s="967"/>
      <c r="D7" s="967"/>
      <c r="E7" s="967"/>
      <c r="F7" s="967"/>
      <c r="G7" s="967"/>
      <c r="H7" s="1100"/>
      <c r="I7" s="1100"/>
      <c r="J7" s="1100"/>
      <c r="L7" s="2107">
        <v>45565</v>
      </c>
      <c r="M7" s="1693" t="s">
        <v>1383</v>
      </c>
      <c r="N7" s="1692" t="s">
        <v>639</v>
      </c>
      <c r="O7" s="2108">
        <v>62.33</v>
      </c>
    </row>
    <row r="8" spans="2:15" x14ac:dyDescent="0.2">
      <c r="B8" s="18"/>
      <c r="C8" s="967"/>
      <c r="D8" s="967"/>
      <c r="E8" s="967"/>
      <c r="F8" s="967"/>
      <c r="G8" s="967"/>
      <c r="H8" s="1100"/>
      <c r="I8" s="1100"/>
      <c r="J8" s="1100"/>
      <c r="L8" s="2107">
        <v>45657</v>
      </c>
      <c r="M8" s="1693" t="s">
        <v>1383</v>
      </c>
      <c r="N8" s="1692" t="s">
        <v>639</v>
      </c>
      <c r="O8" s="2108"/>
    </row>
    <row r="9" spans="2:15" x14ac:dyDescent="0.2">
      <c r="B9" s="18"/>
      <c r="C9" s="967"/>
      <c r="D9" s="967"/>
      <c r="E9" s="967"/>
      <c r="F9" s="967"/>
      <c r="G9" s="967"/>
      <c r="H9" s="1100"/>
      <c r="I9" s="1100"/>
      <c r="J9" s="1100"/>
      <c r="L9" s="331"/>
      <c r="M9" s="331"/>
      <c r="N9" s="331"/>
      <c r="O9" s="2109">
        <f>SUM(O5:O7)</f>
        <v>185.14999999999998</v>
      </c>
    </row>
    <row r="10" spans="2:15" x14ac:dyDescent="0.2">
      <c r="B10" s="18"/>
      <c r="C10" s="967"/>
      <c r="D10" s="967"/>
      <c r="E10" s="967"/>
      <c r="F10" s="967"/>
      <c r="G10" s="967"/>
      <c r="H10" s="1100"/>
      <c r="I10" s="1100"/>
      <c r="J10" s="1100"/>
    </row>
    <row r="11" spans="2:15" x14ac:dyDescent="0.2">
      <c r="B11" s="18"/>
      <c r="C11" s="967"/>
      <c r="D11" s="967"/>
      <c r="E11" s="967"/>
      <c r="F11" s="967"/>
      <c r="G11" s="967"/>
      <c r="H11" s="1100"/>
      <c r="I11" s="1100"/>
      <c r="J11" s="1100"/>
    </row>
    <row r="12" spans="2:15" ht="16" thickBot="1" x14ac:dyDescent="0.25">
      <c r="B12" s="286" t="s">
        <v>639</v>
      </c>
      <c r="C12" s="1618">
        <f>SUM(C5:C11)</f>
        <v>22</v>
      </c>
      <c r="D12" s="1618">
        <f t="shared" ref="D12:I12" si="0">SUM(D5:D11)</f>
        <v>27</v>
      </c>
      <c r="E12" s="1618">
        <f t="shared" si="0"/>
        <v>12</v>
      </c>
      <c r="F12" s="1618">
        <f t="shared" si="0"/>
        <v>1</v>
      </c>
      <c r="G12" s="1618">
        <f t="shared" si="0"/>
        <v>23.19</v>
      </c>
      <c r="H12" s="1094">
        <f t="shared" si="0"/>
        <v>157</v>
      </c>
      <c r="I12" s="1094">
        <f t="shared" si="0"/>
        <v>239</v>
      </c>
      <c r="J12" s="969">
        <f>SUM(J5:J11)</f>
        <v>185</v>
      </c>
    </row>
    <row r="13" spans="2:15" ht="16" thickTop="1" x14ac:dyDescent="0.2"/>
    <row r="19" spans="7:7" x14ac:dyDescent="0.2">
      <c r="G19" s="14" t="s">
        <v>1451</v>
      </c>
    </row>
  </sheetData>
  <mergeCells count="3">
    <mergeCell ref="B2:J2"/>
    <mergeCell ref="B1:J1"/>
    <mergeCell ref="G3:I3"/>
  </mergeCells>
  <conditionalFormatting sqref="B1:B2">
    <cfRule type="cellIs" dxfId="2" priority="1" operator="equal">
      <formula>0</formula>
    </cfRule>
  </conditionalFormatting>
  <hyperlinks>
    <hyperlink ref="B1" location="Summary!A1" display="Summary!A1" xr:uid="{27FB5894-12AB-46B2-816A-C72BA029D556}"/>
    <hyperlink ref="J12" location="Summary!T73" display="Summary!T73" xr:uid="{CB9CD854-5793-490D-9884-386202E3994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2">
    <tabColor rgb="FF00FF00"/>
    <pageSetUpPr fitToPage="1"/>
  </sheetPr>
  <dimension ref="A1:Y46"/>
  <sheetViews>
    <sheetView zoomScale="85" zoomScaleNormal="85" zoomScaleSheetLayoutView="90" workbookViewId="0">
      <pane xSplit="4" ySplit="1" topLeftCell="H8" activePane="bottomRight" state="frozen"/>
      <selection activeCell="B1" sqref="B1:J1"/>
      <selection pane="topRight" activeCell="B1" sqref="B1:J1"/>
      <selection pane="bottomLeft" activeCell="B1" sqref="B1:J1"/>
      <selection pane="bottomRight" activeCell="B1" sqref="B1:W1"/>
    </sheetView>
  </sheetViews>
  <sheetFormatPr baseColWidth="10" defaultColWidth="8.83203125" defaultRowHeight="15" x14ac:dyDescent="0.2"/>
  <cols>
    <col min="1" max="1" width="4" style="14" customWidth="1"/>
    <col min="2" max="2" width="21.83203125" style="14" bestFit="1" customWidth="1"/>
    <col min="3" max="3" width="13.5" style="14" bestFit="1" customWidth="1"/>
    <col min="4" max="4" width="14.5" style="14" bestFit="1" customWidth="1"/>
    <col min="5" max="5" width="11.6640625" style="14" bestFit="1" customWidth="1"/>
    <col min="6" max="11" width="7.1640625" style="14" bestFit="1" customWidth="1"/>
    <col min="12" max="25" width="8.33203125" style="14" bestFit="1" customWidth="1"/>
    <col min="26" max="16384" width="8.83203125" style="14"/>
  </cols>
  <sheetData>
    <row r="1" spans="1:25" s="1909" customFormat="1" ht="24" x14ac:dyDescent="0.2">
      <c r="B1" s="2289" t="s">
        <v>725</v>
      </c>
      <c r="C1" s="2289"/>
      <c r="D1" s="2289"/>
      <c r="E1" s="2289"/>
      <c r="F1" s="2289"/>
      <c r="G1" s="2289"/>
      <c r="H1" s="2289"/>
      <c r="I1" s="2289"/>
      <c r="J1" s="2289"/>
      <c r="K1" s="2289"/>
      <c r="L1" s="2289"/>
      <c r="M1" s="2289"/>
      <c r="N1" s="2289"/>
      <c r="O1" s="2289"/>
      <c r="P1" s="2289"/>
      <c r="Q1" s="2289"/>
      <c r="R1" s="2289"/>
      <c r="S1" s="2289"/>
      <c r="T1" s="2289"/>
      <c r="U1" s="2289"/>
      <c r="V1" s="2289"/>
      <c r="W1" s="2289"/>
    </row>
    <row r="2" spans="1:25" ht="16" thickBot="1" x14ac:dyDescent="0.25"/>
    <row r="3" spans="1:25" ht="16" thickTop="1" x14ac:dyDescent="0.2">
      <c r="B3" s="2614" t="s">
        <v>352</v>
      </c>
      <c r="C3" s="2615"/>
      <c r="D3" s="2615"/>
      <c r="E3" s="2615"/>
      <c r="F3" s="2615"/>
      <c r="G3" s="2615"/>
      <c r="H3" s="2615"/>
      <c r="I3" s="2615"/>
      <c r="J3" s="2615"/>
      <c r="K3" s="2615"/>
      <c r="L3" s="2615"/>
      <c r="M3" s="2615"/>
      <c r="N3" s="2615"/>
      <c r="O3" s="2615"/>
      <c r="P3" s="2615"/>
      <c r="Q3" s="2615"/>
      <c r="R3" s="2615"/>
      <c r="S3" s="2615"/>
      <c r="T3" s="2615"/>
      <c r="U3" s="2615"/>
      <c r="V3" s="2615"/>
      <c r="W3" s="2616"/>
    </row>
    <row r="4" spans="1:25" x14ac:dyDescent="0.2">
      <c r="B4" s="2617"/>
      <c r="C4" s="2618"/>
      <c r="D4" s="2618"/>
      <c r="E4" s="2618"/>
      <c r="F4" s="2618"/>
      <c r="G4" s="2618"/>
      <c r="H4" s="2618"/>
      <c r="I4" s="2618"/>
      <c r="J4" s="2618"/>
      <c r="K4" s="2618"/>
      <c r="L4" s="2618"/>
      <c r="M4" s="2618"/>
      <c r="N4" s="2618"/>
      <c r="O4" s="2618"/>
      <c r="P4" s="2618"/>
      <c r="Q4" s="2618"/>
      <c r="R4" s="2618"/>
      <c r="S4" s="2618"/>
      <c r="T4" s="2618"/>
      <c r="U4" s="2618"/>
      <c r="V4" s="2618"/>
      <c r="W4" s="2619"/>
    </row>
    <row r="5" spans="1:25" ht="32" x14ac:dyDescent="0.2">
      <c r="B5" s="1137" t="s">
        <v>353</v>
      </c>
      <c r="C5" s="1089" t="s">
        <v>354</v>
      </c>
      <c r="D5" s="1061" t="s">
        <v>182</v>
      </c>
      <c r="E5" s="1138" t="s">
        <v>1386</v>
      </c>
      <c r="F5" s="1090">
        <v>2008</v>
      </c>
      <c r="G5" s="1089">
        <v>2009</v>
      </c>
      <c r="H5" s="1089">
        <v>2010</v>
      </c>
      <c r="I5" s="1089">
        <v>2011</v>
      </c>
      <c r="J5" s="1089">
        <v>2012</v>
      </c>
      <c r="K5" s="1089">
        <v>2013</v>
      </c>
      <c r="L5" s="1089">
        <v>2014</v>
      </c>
      <c r="M5" s="1089">
        <v>2015</v>
      </c>
      <c r="N5" s="1089">
        <v>2016</v>
      </c>
      <c r="O5" s="1091">
        <v>2017</v>
      </c>
      <c r="P5" s="1089">
        <v>2018</v>
      </c>
      <c r="Q5" s="1089">
        <v>2019</v>
      </c>
      <c r="R5" s="1089">
        <v>2020</v>
      </c>
      <c r="S5" s="1089">
        <v>2121</v>
      </c>
      <c r="T5" s="1089">
        <v>2022</v>
      </c>
      <c r="U5" s="1089">
        <v>2023</v>
      </c>
      <c r="V5" s="1089">
        <v>2024</v>
      </c>
      <c r="W5" s="1139">
        <v>2025</v>
      </c>
      <c r="X5" s="1657">
        <v>2026</v>
      </c>
      <c r="Y5" s="333">
        <v>2027</v>
      </c>
    </row>
    <row r="6" spans="1:25" x14ac:dyDescent="0.2">
      <c r="B6" s="1108" t="s">
        <v>57</v>
      </c>
      <c r="C6" s="774">
        <v>0.1</v>
      </c>
      <c r="D6" s="1109">
        <v>5000</v>
      </c>
      <c r="E6" s="771">
        <f t="shared" ref="E6:E12" si="0">SUM(F6:U6)</f>
        <v>-5000</v>
      </c>
      <c r="F6" s="1110">
        <v>-500</v>
      </c>
      <c r="G6" s="657">
        <v>-500</v>
      </c>
      <c r="H6" s="657"/>
      <c r="I6" s="657">
        <v>-500</v>
      </c>
      <c r="J6" s="657">
        <v>-500</v>
      </c>
      <c r="K6" s="657">
        <v>-500</v>
      </c>
      <c r="L6" s="657">
        <v>-500</v>
      </c>
      <c r="M6" s="657">
        <v>-500</v>
      </c>
      <c r="N6" s="657">
        <v>-500</v>
      </c>
      <c r="O6" s="657">
        <v>-500</v>
      </c>
      <c r="P6" s="657">
        <v>-500</v>
      </c>
      <c r="Q6" s="657"/>
      <c r="R6" s="657"/>
      <c r="S6" s="657"/>
      <c r="T6" s="657"/>
      <c r="U6" s="657"/>
      <c r="V6" s="1101"/>
      <c r="W6" s="1106"/>
      <c r="X6" s="1110"/>
      <c r="Y6" s="657"/>
    </row>
    <row r="7" spans="1:25" x14ac:dyDescent="0.2">
      <c r="B7" s="1108" t="s">
        <v>355</v>
      </c>
      <c r="C7" s="774">
        <v>0.2</v>
      </c>
      <c r="D7" s="1109">
        <v>540</v>
      </c>
      <c r="E7" s="771">
        <f t="shared" si="0"/>
        <v>-540</v>
      </c>
      <c r="F7" s="1110"/>
      <c r="G7" s="657"/>
      <c r="H7" s="657"/>
      <c r="I7" s="657"/>
      <c r="J7" s="657"/>
      <c r="K7" s="657">
        <v>-108</v>
      </c>
      <c r="L7" s="657">
        <v>-108</v>
      </c>
      <c r="M7" s="657">
        <v>-108</v>
      </c>
      <c r="N7" s="657">
        <v>-108</v>
      </c>
      <c r="O7" s="657">
        <v>-108</v>
      </c>
      <c r="P7" s="657"/>
      <c r="Q7" s="657"/>
      <c r="R7" s="657"/>
      <c r="S7" s="657"/>
      <c r="T7" s="657"/>
      <c r="U7" s="657"/>
      <c r="V7" s="1101"/>
      <c r="W7" s="1106"/>
      <c r="X7" s="1110"/>
      <c r="Y7" s="657"/>
    </row>
    <row r="8" spans="1:25" x14ac:dyDescent="0.2">
      <c r="B8" s="1108" t="s">
        <v>356</v>
      </c>
      <c r="C8" s="774">
        <v>0.2</v>
      </c>
      <c r="D8" s="1109">
        <v>780</v>
      </c>
      <c r="E8" s="771">
        <f t="shared" si="0"/>
        <v>-780</v>
      </c>
      <c r="F8" s="1110"/>
      <c r="G8" s="657"/>
      <c r="H8" s="657"/>
      <c r="I8" s="657"/>
      <c r="J8" s="657"/>
      <c r="K8" s="657">
        <v>-156</v>
      </c>
      <c r="L8" s="657">
        <v>-156</v>
      </c>
      <c r="M8" s="657">
        <v>-156</v>
      </c>
      <c r="N8" s="657">
        <v>-156</v>
      </c>
      <c r="O8" s="657">
        <v>-156</v>
      </c>
      <c r="P8" s="657"/>
      <c r="Q8" s="657"/>
      <c r="R8" s="657"/>
      <c r="S8" s="657"/>
      <c r="T8" s="657"/>
      <c r="U8" s="657"/>
      <c r="V8" s="1101"/>
      <c r="W8" s="1106"/>
      <c r="X8" s="1110"/>
      <c r="Y8" s="657"/>
    </row>
    <row r="9" spans="1:25" x14ac:dyDescent="0.2">
      <c r="B9" s="1108" t="s">
        <v>357</v>
      </c>
      <c r="C9" s="774">
        <v>0.2</v>
      </c>
      <c r="D9" s="1109">
        <v>932</v>
      </c>
      <c r="E9" s="771">
        <f t="shared" si="0"/>
        <v>-932</v>
      </c>
      <c r="F9" s="1110"/>
      <c r="G9" s="657"/>
      <c r="H9" s="657"/>
      <c r="I9" s="657"/>
      <c r="J9" s="657"/>
      <c r="K9" s="657"/>
      <c r="L9" s="657">
        <v>-186</v>
      </c>
      <c r="M9" s="657">
        <v>-186</v>
      </c>
      <c r="N9" s="657">
        <v>-186</v>
      </c>
      <c r="O9" s="657">
        <v>-186</v>
      </c>
      <c r="P9" s="657">
        <v>-188</v>
      </c>
      <c r="Q9" s="657"/>
      <c r="R9" s="657"/>
      <c r="S9" s="657"/>
      <c r="T9" s="657"/>
      <c r="U9" s="657"/>
      <c r="V9" s="1101"/>
      <c r="W9" s="1106"/>
      <c r="X9" s="1110"/>
      <c r="Y9" s="657"/>
    </row>
    <row r="10" spans="1:25" x14ac:dyDescent="0.2">
      <c r="B10" s="1111" t="s">
        <v>358</v>
      </c>
      <c r="C10" s="770">
        <v>0.2</v>
      </c>
      <c r="D10" s="1112">
        <v>350</v>
      </c>
      <c r="E10" s="771">
        <f t="shared" si="0"/>
        <v>-350</v>
      </c>
      <c r="F10" s="772"/>
      <c r="G10" s="773"/>
      <c r="H10" s="773"/>
      <c r="I10" s="773"/>
      <c r="J10" s="773"/>
      <c r="K10" s="773"/>
      <c r="L10" s="773"/>
      <c r="M10" s="773"/>
      <c r="N10" s="773">
        <v>-70</v>
      </c>
      <c r="O10" s="773">
        <v>-70</v>
      </c>
      <c r="P10" s="773">
        <v>-70</v>
      </c>
      <c r="Q10" s="773">
        <v>-70</v>
      </c>
      <c r="R10" s="773">
        <v>-70</v>
      </c>
      <c r="S10" s="773"/>
      <c r="T10" s="773"/>
      <c r="U10" s="773"/>
      <c r="V10" s="1102"/>
      <c r="W10" s="1443"/>
      <c r="X10" s="772"/>
      <c r="Y10" s="773"/>
    </row>
    <row r="11" spans="1:25" x14ac:dyDescent="0.2">
      <c r="B11" s="1111" t="s">
        <v>59</v>
      </c>
      <c r="C11" s="770">
        <v>0.2</v>
      </c>
      <c r="D11" s="1112">
        <v>1703</v>
      </c>
      <c r="E11" s="771">
        <f t="shared" si="0"/>
        <v>-1703</v>
      </c>
      <c r="F11" s="772"/>
      <c r="G11" s="773"/>
      <c r="H11" s="773"/>
      <c r="I11" s="773"/>
      <c r="J11" s="773"/>
      <c r="K11" s="773"/>
      <c r="L11" s="773"/>
      <c r="M11" s="773"/>
      <c r="N11" s="773">
        <v>-341</v>
      </c>
      <c r="O11" s="773">
        <v>-341</v>
      </c>
      <c r="P11" s="773">
        <v>-341</v>
      </c>
      <c r="Q11" s="773">
        <v>-341</v>
      </c>
      <c r="R11" s="773">
        <v>-339</v>
      </c>
      <c r="S11" s="773"/>
      <c r="T11" s="773"/>
      <c r="U11" s="773"/>
      <c r="V11" s="1102"/>
      <c r="W11" s="1443"/>
      <c r="X11" s="772"/>
      <c r="Y11" s="773"/>
    </row>
    <row r="12" spans="1:25" x14ac:dyDescent="0.2">
      <c r="B12" s="1113" t="s">
        <v>419</v>
      </c>
      <c r="C12" s="770">
        <v>0.2</v>
      </c>
      <c r="D12" s="1112">
        <v>1200</v>
      </c>
      <c r="E12" s="771">
        <f t="shared" si="0"/>
        <v>-1200</v>
      </c>
      <c r="F12" s="772"/>
      <c r="G12" s="773"/>
      <c r="H12" s="773"/>
      <c r="I12" s="773"/>
      <c r="J12" s="773"/>
      <c r="K12" s="773"/>
      <c r="L12" s="773"/>
      <c r="M12" s="773"/>
      <c r="N12" s="773"/>
      <c r="O12" s="773">
        <v>-240</v>
      </c>
      <c r="P12" s="773">
        <v>-240</v>
      </c>
      <c r="Q12" s="773">
        <v>-240</v>
      </c>
      <c r="R12" s="773">
        <v>-240</v>
      </c>
      <c r="S12" s="773">
        <v>-240</v>
      </c>
      <c r="T12" s="773"/>
      <c r="U12" s="773"/>
      <c r="V12" s="1102"/>
      <c r="W12" s="1443"/>
      <c r="X12" s="772"/>
      <c r="Y12" s="773"/>
    </row>
    <row r="13" spans="1:25" x14ac:dyDescent="0.2">
      <c r="B13" s="1111" t="s">
        <v>640</v>
      </c>
      <c r="C13" s="770">
        <v>0.2</v>
      </c>
      <c r="D13" s="1112">
        <v>738</v>
      </c>
      <c r="E13" s="771">
        <f>SUM(F13:U13)</f>
        <v>-739.6</v>
      </c>
      <c r="F13" s="772"/>
      <c r="G13" s="773"/>
      <c r="H13" s="773"/>
      <c r="I13" s="773"/>
      <c r="J13" s="773"/>
      <c r="K13" s="773"/>
      <c r="L13" s="773"/>
      <c r="M13" s="773"/>
      <c r="N13" s="773"/>
      <c r="O13" s="773"/>
      <c r="P13" s="773">
        <f>-D13*0.2</f>
        <v>-147.6</v>
      </c>
      <c r="Q13" s="773">
        <v>-148</v>
      </c>
      <c r="R13" s="773">
        <v>-148</v>
      </c>
      <c r="S13" s="773">
        <v>-148</v>
      </c>
      <c r="T13" s="773">
        <v>-148</v>
      </c>
      <c r="U13" s="773"/>
      <c r="V13" s="1102"/>
      <c r="W13" s="1443"/>
      <c r="X13" s="772"/>
      <c r="Y13" s="773"/>
    </row>
    <row r="14" spans="1:25" x14ac:dyDescent="0.2">
      <c r="A14" s="2110"/>
      <c r="B14" s="1114"/>
      <c r="C14" s="767"/>
      <c r="D14" s="1115"/>
      <c r="E14" s="1115"/>
      <c r="F14" s="768"/>
      <c r="G14" s="769"/>
      <c r="H14" s="769"/>
      <c r="I14" s="769"/>
      <c r="J14" s="769"/>
      <c r="K14" s="769"/>
      <c r="L14" s="769"/>
      <c r="M14" s="769"/>
      <c r="N14" s="769"/>
      <c r="O14" s="769"/>
      <c r="P14" s="769"/>
      <c r="Q14" s="769"/>
      <c r="R14" s="769"/>
      <c r="S14" s="769"/>
      <c r="T14" s="769"/>
      <c r="U14" s="769"/>
      <c r="V14" s="769"/>
      <c r="W14" s="1444"/>
      <c r="X14" s="772"/>
      <c r="Y14" s="773"/>
    </row>
    <row r="15" spans="1:25" x14ac:dyDescent="0.2">
      <c r="A15" s="2110"/>
      <c r="B15" s="1113" t="s">
        <v>361</v>
      </c>
      <c r="C15" s="770">
        <v>0.1</v>
      </c>
      <c r="D15" s="1112">
        <v>2568</v>
      </c>
      <c r="E15" s="771">
        <f>SUM(F15:U15)</f>
        <v>-1799</v>
      </c>
      <c r="F15" s="772"/>
      <c r="G15" s="773"/>
      <c r="H15" s="773"/>
      <c r="I15" s="773"/>
      <c r="J15" s="773"/>
      <c r="K15" s="773"/>
      <c r="L15" s="773"/>
      <c r="M15" s="773"/>
      <c r="N15" s="773"/>
      <c r="O15" s="773">
        <v>-257</v>
      </c>
      <c r="P15" s="773">
        <v>-257</v>
      </c>
      <c r="Q15" s="773">
        <v>-257</v>
      </c>
      <c r="R15" s="773">
        <v>-257</v>
      </c>
      <c r="S15" s="773">
        <v>-257</v>
      </c>
      <c r="T15" s="773">
        <v>-257</v>
      </c>
      <c r="U15" s="773">
        <v>-257</v>
      </c>
      <c r="V15" s="1102">
        <v>-257</v>
      </c>
      <c r="W15" s="1445">
        <v>-257</v>
      </c>
      <c r="X15" s="772">
        <v>-257</v>
      </c>
      <c r="Y15" s="773"/>
    </row>
    <row r="16" spans="1:25" x14ac:dyDescent="0.2">
      <c r="B16" s="1111" t="s">
        <v>422</v>
      </c>
      <c r="C16" s="770">
        <v>0.1</v>
      </c>
      <c r="D16" s="1112">
        <v>1920</v>
      </c>
      <c r="E16" s="771">
        <f>SUM(F16:U16)</f>
        <v>-1344</v>
      </c>
      <c r="F16" s="772"/>
      <c r="G16" s="773"/>
      <c r="H16" s="773"/>
      <c r="I16" s="773"/>
      <c r="J16" s="773"/>
      <c r="K16" s="773"/>
      <c r="L16" s="773"/>
      <c r="M16" s="773"/>
      <c r="N16" s="773"/>
      <c r="O16" s="773">
        <v>-192</v>
      </c>
      <c r="P16" s="773">
        <v>-192</v>
      </c>
      <c r="Q16" s="773">
        <v>-192</v>
      </c>
      <c r="R16" s="773">
        <v>-192</v>
      </c>
      <c r="S16" s="773">
        <v>-192</v>
      </c>
      <c r="T16" s="773">
        <v>-192</v>
      </c>
      <c r="U16" s="773">
        <v>-192</v>
      </c>
      <c r="V16" s="1102">
        <v>-192</v>
      </c>
      <c r="W16" s="1445">
        <v>-192</v>
      </c>
      <c r="X16" s="772">
        <v>-192</v>
      </c>
      <c r="Y16" s="773"/>
    </row>
    <row r="17" spans="1:25" x14ac:dyDescent="0.2">
      <c r="A17" s="2110"/>
      <c r="B17" s="1111" t="s">
        <v>860</v>
      </c>
      <c r="C17" s="770">
        <v>0.2</v>
      </c>
      <c r="D17" s="1112">
        <v>615</v>
      </c>
      <c r="E17" s="771">
        <f>SUM(F17:U17)</f>
        <v>-492</v>
      </c>
      <c r="F17" s="772"/>
      <c r="G17" s="773"/>
      <c r="H17" s="773"/>
      <c r="I17" s="773"/>
      <c r="J17" s="773"/>
      <c r="K17" s="773"/>
      <c r="L17" s="773"/>
      <c r="M17" s="773"/>
      <c r="N17" s="773"/>
      <c r="O17" s="773"/>
      <c r="P17" s="773"/>
      <c r="Q17" s="773"/>
      <c r="R17" s="773">
        <v>-123</v>
      </c>
      <c r="S17" s="773">
        <v>-123</v>
      </c>
      <c r="T17" s="773">
        <v>-123</v>
      </c>
      <c r="U17" s="773">
        <v>-123</v>
      </c>
      <c r="V17" s="1102">
        <v>-123</v>
      </c>
      <c r="W17" s="1445"/>
      <c r="X17" s="772"/>
      <c r="Y17" s="773"/>
    </row>
    <row r="18" spans="1:25" x14ac:dyDescent="0.2">
      <c r="A18" s="2111"/>
      <c r="B18" s="1108" t="s">
        <v>966</v>
      </c>
      <c r="C18" s="774">
        <v>0.2</v>
      </c>
      <c r="D18" s="1109">
        <v>1350</v>
      </c>
      <c r="E18" s="771">
        <f>SUM(F18:U18)</f>
        <v>-810</v>
      </c>
      <c r="F18" s="772"/>
      <c r="G18" s="773"/>
      <c r="H18" s="773"/>
      <c r="I18" s="773"/>
      <c r="J18" s="773"/>
      <c r="K18" s="773"/>
      <c r="L18" s="773"/>
      <c r="M18" s="773"/>
      <c r="N18" s="773"/>
      <c r="O18" s="773"/>
      <c r="P18" s="773"/>
      <c r="Q18" s="773"/>
      <c r="R18" s="773"/>
      <c r="S18" s="773">
        <v>-270</v>
      </c>
      <c r="T18" s="773">
        <v>-270</v>
      </c>
      <c r="U18" s="137">
        <v>-270</v>
      </c>
      <c r="V18" s="1102">
        <v>-270</v>
      </c>
      <c r="W18" s="1445">
        <v>-270</v>
      </c>
      <c r="X18" s="2112"/>
      <c r="Y18" s="2113"/>
    </row>
    <row r="19" spans="1:25" ht="16" thickBot="1" x14ac:dyDescent="0.25">
      <c r="B19" s="1108" t="s">
        <v>1384</v>
      </c>
      <c r="C19" s="774">
        <v>0.2</v>
      </c>
      <c r="D19" s="1319">
        <v>1593</v>
      </c>
      <c r="E19" s="1320">
        <f>SUM(F19:V19)</f>
        <v>-319</v>
      </c>
      <c r="F19" s="1321"/>
      <c r="G19" s="1317"/>
      <c r="H19" s="1317"/>
      <c r="I19" s="1317"/>
      <c r="J19" s="1317"/>
      <c r="K19" s="1317"/>
      <c r="L19" s="1317"/>
      <c r="M19" s="1317"/>
      <c r="N19" s="1317"/>
      <c r="O19" s="1317"/>
      <c r="P19" s="1317"/>
      <c r="Q19" s="1317"/>
      <c r="R19" s="1317"/>
      <c r="S19" s="1317"/>
      <c r="T19" s="1317"/>
      <c r="U19" s="1317"/>
      <c r="V19" s="1318">
        <v>-319</v>
      </c>
      <c r="W19" s="1445">
        <v>-319</v>
      </c>
      <c r="X19" s="1321">
        <v>-319</v>
      </c>
      <c r="Y19" s="1317">
        <v>-319</v>
      </c>
    </row>
    <row r="20" spans="1:25" ht="16" thickBot="1" x14ac:dyDescent="0.25">
      <c r="A20" s="2111"/>
      <c r="B20" s="1116"/>
      <c r="C20" s="775"/>
      <c r="D20" s="87">
        <f t="shared" ref="D20:Y20" si="1">SUM(D6:D19)</f>
        <v>19289</v>
      </c>
      <c r="E20" s="95">
        <f t="shared" si="1"/>
        <v>-16008.6</v>
      </c>
      <c r="F20" s="91">
        <f t="shared" si="1"/>
        <v>-500</v>
      </c>
      <c r="G20" s="91">
        <f t="shared" si="1"/>
        <v>-500</v>
      </c>
      <c r="H20" s="91">
        <f t="shared" si="1"/>
        <v>0</v>
      </c>
      <c r="I20" s="91">
        <f t="shared" si="1"/>
        <v>-500</v>
      </c>
      <c r="J20" s="91">
        <f t="shared" si="1"/>
        <v>-500</v>
      </c>
      <c r="K20" s="91">
        <f t="shared" si="1"/>
        <v>-764</v>
      </c>
      <c r="L20" s="91">
        <f t="shared" si="1"/>
        <v>-950</v>
      </c>
      <c r="M20" s="91">
        <f t="shared" si="1"/>
        <v>-950</v>
      </c>
      <c r="N20" s="91">
        <f t="shared" si="1"/>
        <v>-1361</v>
      </c>
      <c r="O20" s="91">
        <f t="shared" si="1"/>
        <v>-2050</v>
      </c>
      <c r="P20" s="91">
        <f t="shared" si="1"/>
        <v>-1935.6</v>
      </c>
      <c r="Q20" s="91">
        <f t="shared" si="1"/>
        <v>-1248</v>
      </c>
      <c r="R20" s="91">
        <f t="shared" si="1"/>
        <v>-1369</v>
      </c>
      <c r="S20" s="91">
        <f t="shared" si="1"/>
        <v>-1230</v>
      </c>
      <c r="T20" s="91">
        <f t="shared" si="1"/>
        <v>-990</v>
      </c>
      <c r="U20" s="78">
        <f t="shared" si="1"/>
        <v>-842</v>
      </c>
      <c r="V20" s="78">
        <f t="shared" si="1"/>
        <v>-1161</v>
      </c>
      <c r="W20" s="1117">
        <f t="shared" si="1"/>
        <v>-1038</v>
      </c>
      <c r="X20" s="2114">
        <f t="shared" si="1"/>
        <v>-768</v>
      </c>
      <c r="Y20" s="2114">
        <f t="shared" si="1"/>
        <v>-319</v>
      </c>
    </row>
    <row r="21" spans="1:25" x14ac:dyDescent="0.2">
      <c r="A21" s="2110"/>
      <c r="B21" s="1118" t="s">
        <v>60</v>
      </c>
      <c r="C21" s="776">
        <v>0.01</v>
      </c>
      <c r="D21" s="1119">
        <v>32307</v>
      </c>
      <c r="E21" s="771">
        <f>SUM(F21:U21)</f>
        <v>-3230</v>
      </c>
      <c r="F21" s="777"/>
      <c r="G21" s="778"/>
      <c r="H21" s="778"/>
      <c r="I21" s="778"/>
      <c r="J21" s="778"/>
      <c r="K21" s="778"/>
      <c r="L21" s="778">
        <v>-323</v>
      </c>
      <c r="M21" s="778">
        <v>-323</v>
      </c>
      <c r="N21" s="778">
        <v>-323</v>
      </c>
      <c r="O21" s="778">
        <v>-323</v>
      </c>
      <c r="P21" s="655">
        <v>-323</v>
      </c>
      <c r="Q21" s="655">
        <v>-323</v>
      </c>
      <c r="R21" s="655">
        <v>-323</v>
      </c>
      <c r="S21" s="655">
        <v>-323</v>
      </c>
      <c r="T21" s="655">
        <v>-323</v>
      </c>
      <c r="U21" s="655">
        <v>-323</v>
      </c>
      <c r="V21" s="1104">
        <v>-323</v>
      </c>
      <c r="W21" s="1446">
        <v>-323</v>
      </c>
      <c r="X21" s="2115">
        <v>-323</v>
      </c>
      <c r="Y21" s="655">
        <v>-323</v>
      </c>
    </row>
    <row r="22" spans="1:25" ht="16" thickBot="1" x14ac:dyDescent="0.25">
      <c r="B22" s="1120" t="s">
        <v>694</v>
      </c>
      <c r="C22" s="779">
        <v>0.05</v>
      </c>
      <c r="D22" s="1121">
        <v>8815</v>
      </c>
      <c r="E22" s="771">
        <f>SUM(F22:U22)</f>
        <v>-2205</v>
      </c>
      <c r="F22" s="780"/>
      <c r="G22" s="781"/>
      <c r="H22" s="781"/>
      <c r="I22" s="781"/>
      <c r="J22" s="781"/>
      <c r="K22" s="781"/>
      <c r="L22" s="781"/>
      <c r="M22" s="781"/>
      <c r="N22" s="781"/>
      <c r="O22" s="781"/>
      <c r="P22" s="781"/>
      <c r="Q22" s="781">
        <v>-441</v>
      </c>
      <c r="R22" s="781">
        <v>-441</v>
      </c>
      <c r="S22" s="781">
        <v>-441</v>
      </c>
      <c r="T22" s="781">
        <v>-441</v>
      </c>
      <c r="U22" s="781">
        <v>-441</v>
      </c>
      <c r="V22" s="1105">
        <v>-441</v>
      </c>
      <c r="W22" s="1447">
        <v>-441</v>
      </c>
      <c r="X22" s="2116">
        <v>-441</v>
      </c>
      <c r="Y22" s="781">
        <v>-441</v>
      </c>
    </row>
    <row r="23" spans="1:25" ht="16" thickBot="1" x14ac:dyDescent="0.25">
      <c r="B23" s="1122"/>
      <c r="C23" s="79"/>
      <c r="D23" s="1123"/>
      <c r="E23" s="95">
        <f>SUM(E21:E22)</f>
        <v>-5435</v>
      </c>
      <c r="F23" s="362">
        <f t="shared" ref="F23:K23" si="2">SUM(F21:F21)</f>
        <v>0</v>
      </c>
      <c r="G23" s="78">
        <f t="shared" si="2"/>
        <v>0</v>
      </c>
      <c r="H23" s="78">
        <f t="shared" si="2"/>
        <v>0</v>
      </c>
      <c r="I23" s="78">
        <f t="shared" si="2"/>
        <v>0</v>
      </c>
      <c r="J23" s="78">
        <f t="shared" si="2"/>
        <v>0</v>
      </c>
      <c r="K23" s="78">
        <f t="shared" si="2"/>
        <v>0</v>
      </c>
      <c r="L23" s="78">
        <f t="shared" ref="L23:R23" si="3">SUM(L21:L22)</f>
        <v>-323</v>
      </c>
      <c r="M23" s="78">
        <f t="shared" si="3"/>
        <v>-323</v>
      </c>
      <c r="N23" s="78">
        <f t="shared" si="3"/>
        <v>-323</v>
      </c>
      <c r="O23" s="78">
        <f t="shared" si="3"/>
        <v>-323</v>
      </c>
      <c r="P23" s="78">
        <f t="shared" si="3"/>
        <v>-323</v>
      </c>
      <c r="Q23" s="78">
        <f t="shared" si="3"/>
        <v>-764</v>
      </c>
      <c r="R23" s="78">
        <f t="shared" si="3"/>
        <v>-764</v>
      </c>
      <c r="S23" s="78">
        <f>SUM(S21:S22)</f>
        <v>-764</v>
      </c>
      <c r="T23" s="78">
        <f>SUM(T21:T22)</f>
        <v>-764</v>
      </c>
      <c r="U23" s="78">
        <f t="shared" ref="U23:Y23" si="4">SUM(U21:U22)</f>
        <v>-764</v>
      </c>
      <c r="V23" s="78">
        <f t="shared" si="4"/>
        <v>-764</v>
      </c>
      <c r="W23" s="1117">
        <f t="shared" si="4"/>
        <v>-764</v>
      </c>
      <c r="X23" s="2114">
        <f t="shared" si="4"/>
        <v>-764</v>
      </c>
      <c r="Y23" s="2117">
        <f t="shared" si="4"/>
        <v>-764</v>
      </c>
    </row>
    <row r="24" spans="1:25" x14ac:dyDescent="0.2">
      <c r="B24" s="2611" t="s">
        <v>889</v>
      </c>
      <c r="C24" s="2612"/>
      <c r="D24" s="1124">
        <f>+D22+D21+D20</f>
        <v>60411</v>
      </c>
      <c r="E24" s="96">
        <f t="shared" ref="E24" si="5">SUM(F24:Q24)</f>
        <v>0</v>
      </c>
      <c r="F24" s="359"/>
      <c r="G24" s="1124"/>
      <c r="H24" s="1124"/>
      <c r="I24" s="1124"/>
      <c r="J24" s="1124"/>
      <c r="K24" s="1124"/>
      <c r="L24" s="1124"/>
      <c r="M24" s="1124"/>
      <c r="N24" s="1124"/>
      <c r="O24" s="104"/>
      <c r="P24" s="105"/>
      <c r="Q24" s="105"/>
      <c r="R24" s="105"/>
      <c r="S24" s="105"/>
      <c r="T24" s="105"/>
      <c r="U24" s="105"/>
      <c r="V24" s="1448"/>
      <c r="W24" s="1107"/>
      <c r="X24" s="2118"/>
      <c r="Y24" s="2119"/>
    </row>
    <row r="25" spans="1:25" ht="16" thickBot="1" x14ac:dyDescent="0.25">
      <c r="B25" s="2613" t="s">
        <v>1094</v>
      </c>
      <c r="C25" s="2247"/>
      <c r="D25" s="358"/>
      <c r="E25" s="97">
        <f>+E23+E20</f>
        <v>-21443.599999999999</v>
      </c>
      <c r="F25" s="1125">
        <f t="shared" ref="F25:R25" si="6">+F23+F20</f>
        <v>-500</v>
      </c>
      <c r="G25" s="5">
        <f t="shared" si="6"/>
        <v>-500</v>
      </c>
      <c r="H25" s="5">
        <f t="shared" si="6"/>
        <v>0</v>
      </c>
      <c r="I25" s="5">
        <f t="shared" si="6"/>
        <v>-500</v>
      </c>
      <c r="J25" s="5">
        <f t="shared" si="6"/>
        <v>-500</v>
      </c>
      <c r="K25" s="5">
        <f t="shared" si="6"/>
        <v>-764</v>
      </c>
      <c r="L25" s="5">
        <f t="shared" si="6"/>
        <v>-1273</v>
      </c>
      <c r="M25" s="5">
        <f t="shared" si="6"/>
        <v>-1273</v>
      </c>
      <c r="N25" s="5">
        <f t="shared" si="6"/>
        <v>-1684</v>
      </c>
      <c r="O25" s="5">
        <f t="shared" si="6"/>
        <v>-2373</v>
      </c>
      <c r="P25" s="5">
        <f t="shared" si="6"/>
        <v>-2258.6</v>
      </c>
      <c r="Q25" s="5">
        <f t="shared" si="6"/>
        <v>-2012</v>
      </c>
      <c r="R25" s="5">
        <f t="shared" si="6"/>
        <v>-2133</v>
      </c>
      <c r="S25" s="360">
        <f>+S23+S20</f>
        <v>-1994</v>
      </c>
      <c r="T25" s="360">
        <f>+T23+T20</f>
        <v>-1754</v>
      </c>
      <c r="U25" s="1322">
        <f t="shared" ref="U25:Y25" si="7">+U23+U20</f>
        <v>-1606</v>
      </c>
      <c r="V25" s="1322">
        <f t="shared" si="7"/>
        <v>-1925</v>
      </c>
      <c r="W25" s="1140">
        <f t="shared" si="7"/>
        <v>-1802</v>
      </c>
      <c r="X25" s="2120">
        <f t="shared" si="7"/>
        <v>-1532</v>
      </c>
      <c r="Y25" s="360">
        <f t="shared" si="7"/>
        <v>-1083</v>
      </c>
    </row>
    <row r="26" spans="1:25" ht="16" thickTop="1" x14ac:dyDescent="0.2">
      <c r="B26" s="2620"/>
      <c r="C26" s="2621"/>
      <c r="D26" s="2621"/>
      <c r="E26" s="2621"/>
      <c r="F26" s="2621"/>
      <c r="G26" s="2621"/>
      <c r="H26" s="2621"/>
      <c r="I26" s="2621"/>
      <c r="J26" s="2621"/>
      <c r="K26" s="2621"/>
      <c r="L26" s="2621"/>
      <c r="M26" s="2621"/>
      <c r="N26" s="2621"/>
      <c r="O26" s="2621"/>
      <c r="P26" s="2621"/>
      <c r="Q26" s="2621"/>
      <c r="R26" s="2621"/>
      <c r="S26" s="2621"/>
      <c r="T26" s="2621"/>
      <c r="U26" s="2621"/>
      <c r="V26" s="2621"/>
      <c r="W26" s="2622"/>
    </row>
    <row r="27" spans="1:25" x14ac:dyDescent="0.2">
      <c r="B27" s="2623" t="s">
        <v>1385</v>
      </c>
      <c r="C27" s="2624"/>
      <c r="D27" s="2624"/>
      <c r="E27" s="2624"/>
      <c r="F27" s="2624"/>
      <c r="G27" s="2624"/>
      <c r="H27" s="2624"/>
      <c r="I27" s="2624"/>
      <c r="J27" s="2624"/>
      <c r="K27" s="2624"/>
      <c r="L27" s="2624"/>
      <c r="M27" s="2624"/>
      <c r="N27" s="2624"/>
      <c r="O27" s="2624"/>
      <c r="P27" s="2624"/>
      <c r="Q27" s="2624"/>
      <c r="R27" s="2624"/>
      <c r="S27" s="2624"/>
      <c r="T27" s="2624"/>
      <c r="U27" s="2624"/>
      <c r="V27" s="2624"/>
      <c r="W27" s="2625"/>
    </row>
    <row r="28" spans="1:25" ht="16" x14ac:dyDescent="0.2">
      <c r="B28" s="2610" t="s">
        <v>353</v>
      </c>
      <c r="C28" s="2321"/>
      <c r="D28" s="1290" t="s">
        <v>360</v>
      </c>
      <c r="E28" s="1323"/>
      <c r="F28" s="1291">
        <v>2008</v>
      </c>
      <c r="G28" s="350">
        <v>2009</v>
      </c>
      <c r="H28" s="350">
        <v>2010</v>
      </c>
      <c r="I28" s="350">
        <v>2011</v>
      </c>
      <c r="J28" s="350">
        <v>2012</v>
      </c>
      <c r="K28" s="350">
        <v>2013</v>
      </c>
      <c r="L28" s="350">
        <v>2014</v>
      </c>
      <c r="M28" s="1290">
        <v>2015</v>
      </c>
      <c r="N28" s="350">
        <v>2016</v>
      </c>
      <c r="O28" s="350">
        <v>2017</v>
      </c>
      <c r="P28" s="1290">
        <v>2018</v>
      </c>
      <c r="Q28" s="350">
        <v>2019</v>
      </c>
      <c r="R28" s="350">
        <v>2020</v>
      </c>
      <c r="S28" s="350">
        <v>2021</v>
      </c>
      <c r="T28" s="350">
        <v>2022</v>
      </c>
      <c r="U28" s="350">
        <v>2023</v>
      </c>
      <c r="V28" s="350">
        <v>2024</v>
      </c>
      <c r="W28" s="1324">
        <v>2025</v>
      </c>
      <c r="X28" s="1169">
        <v>2026</v>
      </c>
      <c r="Y28" s="664">
        <v>2027</v>
      </c>
    </row>
    <row r="29" spans="1:25" x14ac:dyDescent="0.2">
      <c r="B29" s="1113" t="s">
        <v>57</v>
      </c>
      <c r="C29" s="81"/>
      <c r="D29" s="134">
        <v>5000</v>
      </c>
      <c r="E29" s="148"/>
      <c r="F29" s="144">
        <f>+D29+F6</f>
        <v>4500</v>
      </c>
      <c r="G29" s="82">
        <f t="shared" ref="G29:R29" si="8">+F29+G6</f>
        <v>4000</v>
      </c>
      <c r="H29" s="82">
        <f t="shared" si="8"/>
        <v>4000</v>
      </c>
      <c r="I29" s="82">
        <f t="shared" si="8"/>
        <v>3500</v>
      </c>
      <c r="J29" s="82">
        <f t="shared" si="8"/>
        <v>3000</v>
      </c>
      <c r="K29" s="82">
        <f t="shared" si="8"/>
        <v>2500</v>
      </c>
      <c r="L29" s="82">
        <f t="shared" si="8"/>
        <v>2000</v>
      </c>
      <c r="M29" s="82">
        <f t="shared" si="8"/>
        <v>1500</v>
      </c>
      <c r="N29" s="115">
        <f t="shared" si="8"/>
        <v>1000</v>
      </c>
      <c r="O29" s="82">
        <f t="shared" si="8"/>
        <v>500</v>
      </c>
      <c r="P29" s="82">
        <f t="shared" si="8"/>
        <v>0</v>
      </c>
      <c r="Q29" s="82">
        <f t="shared" si="8"/>
        <v>0</v>
      </c>
      <c r="R29" s="82">
        <f t="shared" si="8"/>
        <v>0</v>
      </c>
      <c r="S29" s="82"/>
      <c r="T29" s="82"/>
      <c r="U29" s="82"/>
      <c r="V29" s="1127"/>
      <c r="W29" s="1126"/>
      <c r="X29" s="144"/>
      <c r="Y29" s="82"/>
    </row>
    <row r="30" spans="1:25" x14ac:dyDescent="0.2">
      <c r="B30" s="1113" t="s">
        <v>355</v>
      </c>
      <c r="C30" s="81"/>
      <c r="D30" s="134">
        <v>540</v>
      </c>
      <c r="E30" s="148"/>
      <c r="F30" s="144"/>
      <c r="G30" s="82"/>
      <c r="H30" s="82"/>
      <c r="I30" s="82"/>
      <c r="J30" s="82"/>
      <c r="K30" s="82">
        <f>+D30+K7</f>
        <v>432</v>
      </c>
      <c r="L30" s="82">
        <f t="shared" ref="L30:R31" si="9">+K30+L7</f>
        <v>324</v>
      </c>
      <c r="M30" s="82">
        <f t="shared" si="9"/>
        <v>216</v>
      </c>
      <c r="N30" s="115">
        <f t="shared" si="9"/>
        <v>108</v>
      </c>
      <c r="O30" s="82">
        <f t="shared" si="9"/>
        <v>0</v>
      </c>
      <c r="P30" s="82">
        <f t="shared" si="9"/>
        <v>0</v>
      </c>
      <c r="Q30" s="82">
        <f t="shared" si="9"/>
        <v>0</v>
      </c>
      <c r="R30" s="82">
        <f t="shared" si="9"/>
        <v>0</v>
      </c>
      <c r="S30" s="82"/>
      <c r="T30" s="82"/>
      <c r="U30" s="82"/>
      <c r="V30" s="1127"/>
      <c r="W30" s="1126"/>
      <c r="X30" s="144"/>
      <c r="Y30" s="82"/>
    </row>
    <row r="31" spans="1:25" x14ac:dyDescent="0.2">
      <c r="B31" s="1113" t="s">
        <v>356</v>
      </c>
      <c r="C31" s="81"/>
      <c r="D31" s="134">
        <v>780</v>
      </c>
      <c r="E31" s="148"/>
      <c r="F31" s="144"/>
      <c r="G31" s="82"/>
      <c r="H31" s="82"/>
      <c r="I31" s="82"/>
      <c r="J31" s="82"/>
      <c r="K31" s="82">
        <f>+D31+K8</f>
        <v>624</v>
      </c>
      <c r="L31" s="82">
        <f t="shared" si="9"/>
        <v>468</v>
      </c>
      <c r="M31" s="82">
        <f t="shared" si="9"/>
        <v>312</v>
      </c>
      <c r="N31" s="115">
        <f t="shared" si="9"/>
        <v>156</v>
      </c>
      <c r="O31" s="82">
        <f t="shared" si="9"/>
        <v>0</v>
      </c>
      <c r="P31" s="82">
        <f t="shared" si="9"/>
        <v>0</v>
      </c>
      <c r="Q31" s="82">
        <f t="shared" si="9"/>
        <v>0</v>
      </c>
      <c r="R31" s="82">
        <f t="shared" si="9"/>
        <v>0</v>
      </c>
      <c r="S31" s="82"/>
      <c r="T31" s="82"/>
      <c r="U31" s="82"/>
      <c r="V31" s="1127"/>
      <c r="W31" s="1126"/>
      <c r="X31" s="144"/>
      <c r="Y31" s="82"/>
    </row>
    <row r="32" spans="1:25" x14ac:dyDescent="0.2">
      <c r="B32" s="1113" t="s">
        <v>357</v>
      </c>
      <c r="C32" s="81"/>
      <c r="D32" s="134">
        <v>932</v>
      </c>
      <c r="E32" s="148"/>
      <c r="F32" s="144"/>
      <c r="G32" s="82"/>
      <c r="H32" s="82"/>
      <c r="I32" s="82"/>
      <c r="J32" s="82"/>
      <c r="K32" s="82"/>
      <c r="L32" s="82">
        <f>+D32+L9</f>
        <v>746</v>
      </c>
      <c r="M32" s="82">
        <f t="shared" ref="M32:R32" si="10">+L32+M9</f>
        <v>560</v>
      </c>
      <c r="N32" s="115">
        <f t="shared" si="10"/>
        <v>374</v>
      </c>
      <c r="O32" s="82">
        <f t="shared" si="10"/>
        <v>188</v>
      </c>
      <c r="P32" s="82">
        <f t="shared" si="10"/>
        <v>0</v>
      </c>
      <c r="Q32" s="82">
        <f t="shared" si="10"/>
        <v>0</v>
      </c>
      <c r="R32" s="82">
        <f t="shared" si="10"/>
        <v>0</v>
      </c>
      <c r="S32" s="82"/>
      <c r="T32" s="82"/>
      <c r="U32" s="82"/>
      <c r="V32" s="1127"/>
      <c r="W32" s="1126"/>
      <c r="X32" s="144"/>
      <c r="Y32" s="82"/>
    </row>
    <row r="33" spans="2:25" x14ac:dyDescent="0.2">
      <c r="B33" s="1113" t="s">
        <v>358</v>
      </c>
      <c r="C33" s="81"/>
      <c r="D33" s="134">
        <v>350</v>
      </c>
      <c r="E33" s="148"/>
      <c r="F33" s="144"/>
      <c r="G33" s="82"/>
      <c r="H33" s="82"/>
      <c r="I33" s="82"/>
      <c r="J33" s="82"/>
      <c r="K33" s="82"/>
      <c r="L33" s="82"/>
      <c r="M33" s="82">
        <f>+L33+M10</f>
        <v>0</v>
      </c>
      <c r="N33" s="115">
        <f>+D33+N10</f>
        <v>280</v>
      </c>
      <c r="O33" s="82">
        <f t="shared" ref="O33:R34" si="11">+N33+O10</f>
        <v>210</v>
      </c>
      <c r="P33" s="82">
        <f t="shared" si="11"/>
        <v>140</v>
      </c>
      <c r="Q33" s="82">
        <f t="shared" si="11"/>
        <v>70</v>
      </c>
      <c r="R33" s="82">
        <f t="shared" si="11"/>
        <v>0</v>
      </c>
      <c r="S33" s="82"/>
      <c r="T33" s="82"/>
      <c r="U33" s="82"/>
      <c r="V33" s="1127"/>
      <c r="W33" s="1126"/>
      <c r="X33" s="144"/>
      <c r="Y33" s="82"/>
    </row>
    <row r="34" spans="2:25" x14ac:dyDescent="0.2">
      <c r="B34" s="1113" t="s">
        <v>59</v>
      </c>
      <c r="C34" s="81"/>
      <c r="D34" s="134">
        <v>1703</v>
      </c>
      <c r="E34" s="148"/>
      <c r="F34" s="144"/>
      <c r="G34" s="82"/>
      <c r="H34" s="82"/>
      <c r="I34" s="82"/>
      <c r="J34" s="82"/>
      <c r="K34" s="82"/>
      <c r="L34" s="82"/>
      <c r="M34" s="82">
        <f>+L34+M11</f>
        <v>0</v>
      </c>
      <c r="N34" s="115">
        <f>+D34+N11</f>
        <v>1362</v>
      </c>
      <c r="O34" s="82">
        <f t="shared" si="11"/>
        <v>1021</v>
      </c>
      <c r="P34" s="82">
        <f t="shared" si="11"/>
        <v>680</v>
      </c>
      <c r="Q34" s="82">
        <f t="shared" si="11"/>
        <v>339</v>
      </c>
      <c r="R34" s="82">
        <f t="shared" si="11"/>
        <v>0</v>
      </c>
      <c r="S34" s="82"/>
      <c r="T34" s="82"/>
      <c r="U34" s="82"/>
      <c r="V34" s="1127"/>
      <c r="W34" s="1126"/>
      <c r="X34" s="144"/>
      <c r="Y34" s="82"/>
    </row>
    <row r="35" spans="2:25" x14ac:dyDescent="0.2">
      <c r="B35" s="1113" t="s">
        <v>419</v>
      </c>
      <c r="C35" s="81"/>
      <c r="D35" s="134">
        <v>1200</v>
      </c>
      <c r="E35" s="148"/>
      <c r="F35" s="144"/>
      <c r="G35" s="82"/>
      <c r="H35" s="82"/>
      <c r="I35" s="82"/>
      <c r="J35" s="82"/>
      <c r="K35" s="82"/>
      <c r="L35" s="82"/>
      <c r="M35" s="6"/>
      <c r="N35" s="115"/>
      <c r="O35" s="82">
        <f>+D35+O12</f>
        <v>960</v>
      </c>
      <c r="P35" s="82">
        <f>+O35+P12</f>
        <v>720</v>
      </c>
      <c r="Q35" s="82">
        <f>+P35+Q12</f>
        <v>480</v>
      </c>
      <c r="R35" s="82">
        <f>+Q35+R12</f>
        <v>240</v>
      </c>
      <c r="S35" s="82">
        <f>+R35+R12</f>
        <v>0</v>
      </c>
      <c r="T35" s="82"/>
      <c r="U35" s="82"/>
      <c r="V35" s="1127"/>
      <c r="W35" s="1126"/>
      <c r="X35" s="144"/>
      <c r="Y35" s="82"/>
    </row>
    <row r="36" spans="2:25" x14ac:dyDescent="0.2">
      <c r="B36" s="1114"/>
      <c r="C36" s="767"/>
      <c r="D36" s="1115"/>
      <c r="E36" s="1115"/>
      <c r="F36" s="768"/>
      <c r="G36" s="769"/>
      <c r="H36" s="769"/>
      <c r="I36" s="769"/>
      <c r="J36" s="769"/>
      <c r="K36" s="769"/>
      <c r="L36" s="769"/>
      <c r="M36" s="769"/>
      <c r="N36" s="769"/>
      <c r="O36" s="769"/>
      <c r="P36" s="769"/>
      <c r="Q36" s="769"/>
      <c r="R36" s="769"/>
      <c r="S36" s="769"/>
      <c r="T36" s="769"/>
      <c r="U36" s="769"/>
      <c r="V36" s="769"/>
      <c r="W36" s="1103"/>
      <c r="X36" s="772"/>
      <c r="Y36" s="773"/>
    </row>
    <row r="37" spans="2:25" x14ac:dyDescent="0.2">
      <c r="B37" s="1113" t="s">
        <v>361</v>
      </c>
      <c r="C37" s="81"/>
      <c r="D37" s="134">
        <v>2568</v>
      </c>
      <c r="E37" s="148"/>
      <c r="F37" s="144"/>
      <c r="G37" s="82"/>
      <c r="H37" s="82"/>
      <c r="I37" s="82"/>
      <c r="J37" s="82"/>
      <c r="K37" s="82"/>
      <c r="L37" s="82"/>
      <c r="M37" s="6">
        <f>+L37+M19</f>
        <v>0</v>
      </c>
      <c r="N37" s="115"/>
      <c r="O37" s="82">
        <f>+D37+O15</f>
        <v>2311</v>
      </c>
      <c r="P37" s="82">
        <f t="shared" ref="P37:R38" si="12">+O37+P15</f>
        <v>2054</v>
      </c>
      <c r="Q37" s="82">
        <f t="shared" si="12"/>
        <v>1797</v>
      </c>
      <c r="R37" s="82">
        <f t="shared" si="12"/>
        <v>1540</v>
      </c>
      <c r="S37" s="82">
        <f t="shared" ref="S37:W38" si="13">+R37+R15</f>
        <v>1283</v>
      </c>
      <c r="T37" s="82">
        <f t="shared" si="13"/>
        <v>1026</v>
      </c>
      <c r="U37" s="82">
        <f t="shared" si="13"/>
        <v>769</v>
      </c>
      <c r="V37" s="1127">
        <f t="shared" si="13"/>
        <v>512</v>
      </c>
      <c r="W37" s="1126">
        <f t="shared" si="13"/>
        <v>255</v>
      </c>
      <c r="X37" s="144"/>
      <c r="Y37" s="82"/>
    </row>
    <row r="38" spans="2:25" x14ac:dyDescent="0.2">
      <c r="B38" s="1113" t="s">
        <v>422</v>
      </c>
      <c r="C38" s="81"/>
      <c r="D38" s="137">
        <v>1920</v>
      </c>
      <c r="E38" s="149"/>
      <c r="F38" s="145"/>
      <c r="G38" s="138"/>
      <c r="H38" s="138"/>
      <c r="I38" s="138"/>
      <c r="J38" s="138"/>
      <c r="K38" s="138"/>
      <c r="L38" s="138"/>
      <c r="M38" s="1050"/>
      <c r="N38" s="1128"/>
      <c r="O38" s="82">
        <f>+D38+O16</f>
        <v>1728</v>
      </c>
      <c r="P38" s="82">
        <f t="shared" si="12"/>
        <v>1536</v>
      </c>
      <c r="Q38" s="82">
        <f t="shared" si="12"/>
        <v>1344</v>
      </c>
      <c r="R38" s="82">
        <f t="shared" si="12"/>
        <v>1152</v>
      </c>
      <c r="S38" s="82">
        <f t="shared" si="13"/>
        <v>960</v>
      </c>
      <c r="T38" s="82">
        <f t="shared" si="13"/>
        <v>768</v>
      </c>
      <c r="U38" s="82">
        <f t="shared" si="13"/>
        <v>576</v>
      </c>
      <c r="V38" s="1127">
        <f t="shared" si="13"/>
        <v>384</v>
      </c>
      <c r="W38" s="1126">
        <f t="shared" si="13"/>
        <v>192</v>
      </c>
      <c r="X38" s="144"/>
      <c r="Y38" s="82"/>
    </row>
    <row r="39" spans="2:25" x14ac:dyDescent="0.2">
      <c r="B39" s="1113" t="s">
        <v>640</v>
      </c>
      <c r="C39" s="81"/>
      <c r="D39" s="134">
        <v>738</v>
      </c>
      <c r="E39" s="148"/>
      <c r="F39" s="144"/>
      <c r="G39" s="82"/>
      <c r="H39" s="82"/>
      <c r="I39" s="82"/>
      <c r="J39" s="82"/>
      <c r="K39" s="82"/>
      <c r="L39" s="82"/>
      <c r="M39" s="6"/>
      <c r="N39" s="115"/>
      <c r="O39" s="82">
        <v>0</v>
      </c>
      <c r="P39" s="82">
        <f>738+P13</f>
        <v>590.4</v>
      </c>
      <c r="Q39" s="82">
        <f>+P39+Q13</f>
        <v>442.4</v>
      </c>
      <c r="R39" s="82">
        <f>+Q39+R13</f>
        <v>294.39999999999998</v>
      </c>
      <c r="S39" s="82">
        <f>+R39+R13</f>
        <v>146.39999999999998</v>
      </c>
      <c r="T39" s="82">
        <f>+S39+S13</f>
        <v>-1.6000000000000227</v>
      </c>
      <c r="U39" s="82"/>
      <c r="V39" s="1127"/>
      <c r="W39" s="1126"/>
      <c r="X39" s="144"/>
      <c r="Y39" s="82"/>
    </row>
    <row r="40" spans="2:25" x14ac:dyDescent="0.2">
      <c r="B40" s="1129" t="s">
        <v>860</v>
      </c>
      <c r="C40" s="81"/>
      <c r="D40" s="134">
        <v>615</v>
      </c>
      <c r="E40" s="148"/>
      <c r="F40" s="144"/>
      <c r="G40" s="82"/>
      <c r="H40" s="82"/>
      <c r="I40" s="82"/>
      <c r="J40" s="82"/>
      <c r="K40" s="82"/>
      <c r="L40" s="82"/>
      <c r="M40" s="6"/>
      <c r="N40" s="115"/>
      <c r="O40" s="82"/>
      <c r="P40" s="82"/>
      <c r="Q40" s="82"/>
      <c r="R40" s="82">
        <f>+D40+R17</f>
        <v>492</v>
      </c>
      <c r="S40" s="82">
        <f>+R40+R17</f>
        <v>369</v>
      </c>
      <c r="T40" s="82">
        <f>+S40+S17</f>
        <v>246</v>
      </c>
      <c r="U40" s="82">
        <f>+T40+T17</f>
        <v>123</v>
      </c>
      <c r="V40" s="1127">
        <f>+U40+U17</f>
        <v>0</v>
      </c>
      <c r="W40" s="1126"/>
      <c r="X40" s="144"/>
      <c r="Y40" s="82"/>
    </row>
    <row r="41" spans="2:25" ht="16" thickBot="1" x14ac:dyDescent="0.25">
      <c r="B41" s="1113" t="s">
        <v>966</v>
      </c>
      <c r="C41" s="81"/>
      <c r="D41" s="134">
        <v>1350</v>
      </c>
      <c r="E41" s="148"/>
      <c r="F41" s="144"/>
      <c r="G41" s="82"/>
      <c r="H41" s="82"/>
      <c r="I41" s="82"/>
      <c r="J41" s="82"/>
      <c r="K41" s="82"/>
      <c r="L41" s="82"/>
      <c r="M41" s="6"/>
      <c r="N41" s="115"/>
      <c r="O41" s="82"/>
      <c r="P41" s="82"/>
      <c r="Q41" s="82"/>
      <c r="R41" s="82"/>
      <c r="S41" s="82">
        <f>+D41+S19</f>
        <v>1350</v>
      </c>
      <c r="T41" s="82">
        <f>+S41+S19</f>
        <v>1350</v>
      </c>
      <c r="U41" s="82">
        <f>+T41+T19</f>
        <v>1350</v>
      </c>
      <c r="V41" s="1127">
        <f>+U41+U19</f>
        <v>1350</v>
      </c>
      <c r="W41" s="1126"/>
      <c r="X41" s="144"/>
      <c r="Y41" s="82"/>
    </row>
    <row r="42" spans="2:25" x14ac:dyDescent="0.2">
      <c r="B42" s="1130"/>
      <c r="C42" s="140"/>
      <c r="D42" s="141">
        <f>SUM(D29:D41)</f>
        <v>17696</v>
      </c>
      <c r="E42" s="150">
        <f t="shared" ref="E42:O42" si="14">SUM(E29:E39)</f>
        <v>0</v>
      </c>
      <c r="F42" s="146">
        <f t="shared" si="14"/>
        <v>4500</v>
      </c>
      <c r="G42" s="142">
        <f t="shared" si="14"/>
        <v>4000</v>
      </c>
      <c r="H42" s="142">
        <f t="shared" si="14"/>
        <v>4000</v>
      </c>
      <c r="I42" s="142">
        <f t="shared" si="14"/>
        <v>3500</v>
      </c>
      <c r="J42" s="142">
        <f t="shared" si="14"/>
        <v>3000</v>
      </c>
      <c r="K42" s="142">
        <f t="shared" si="14"/>
        <v>3556</v>
      </c>
      <c r="L42" s="142">
        <f t="shared" si="14"/>
        <v>3538</v>
      </c>
      <c r="M42" s="142">
        <f t="shared" si="14"/>
        <v>2588</v>
      </c>
      <c r="N42" s="142">
        <f t="shared" si="14"/>
        <v>3280</v>
      </c>
      <c r="O42" s="142">
        <f t="shared" si="14"/>
        <v>6918</v>
      </c>
      <c r="P42" s="142">
        <f>SUM(P35:P41)</f>
        <v>4900.3999999999996</v>
      </c>
      <c r="Q42" s="142">
        <f>SUM(Q35:Q41)</f>
        <v>4063.4</v>
      </c>
      <c r="R42" s="142">
        <f>SUM(R35:R41)</f>
        <v>3718.4</v>
      </c>
      <c r="S42" s="142">
        <f>SUM(S35:S41)</f>
        <v>4108.3999999999996</v>
      </c>
      <c r="T42" s="142">
        <f>SUM(T35:T41)</f>
        <v>3388.4</v>
      </c>
      <c r="U42" s="142">
        <f t="shared" ref="U42:Y42" si="15">SUM(U35:U41)</f>
        <v>2818</v>
      </c>
      <c r="V42" s="1132">
        <f t="shared" si="15"/>
        <v>2246</v>
      </c>
      <c r="W42" s="1131">
        <f t="shared" si="15"/>
        <v>447</v>
      </c>
      <c r="X42" s="2121">
        <f t="shared" si="15"/>
        <v>0</v>
      </c>
      <c r="Y42" s="2122">
        <f t="shared" si="15"/>
        <v>0</v>
      </c>
    </row>
    <row r="43" spans="2:25" x14ac:dyDescent="0.2">
      <c r="B43" s="1133" t="s">
        <v>60</v>
      </c>
      <c r="C43" s="45"/>
      <c r="D43" s="85">
        <v>32307</v>
      </c>
      <c r="E43" s="94"/>
      <c r="F43" s="143"/>
      <c r="G43" s="6"/>
      <c r="H43" s="6"/>
      <c r="I43" s="6"/>
      <c r="J43" s="6"/>
      <c r="K43" s="6"/>
      <c r="L43" s="6">
        <f>+D43+L21</f>
        <v>31984</v>
      </c>
      <c r="M43" s="6">
        <f t="shared" ref="M43:Y44" si="16">+L43+M21</f>
        <v>31661</v>
      </c>
      <c r="N43" s="6">
        <f t="shared" si="16"/>
        <v>31338</v>
      </c>
      <c r="O43" s="6">
        <f t="shared" si="16"/>
        <v>31015</v>
      </c>
      <c r="P43" s="6">
        <f t="shared" si="16"/>
        <v>30692</v>
      </c>
      <c r="Q43" s="6">
        <f t="shared" si="16"/>
        <v>30369</v>
      </c>
      <c r="R43" s="6">
        <f t="shared" si="16"/>
        <v>30046</v>
      </c>
      <c r="S43" s="6">
        <f t="shared" si="16"/>
        <v>29723</v>
      </c>
      <c r="T43" s="6">
        <f t="shared" si="16"/>
        <v>29400</v>
      </c>
      <c r="U43" s="6">
        <f t="shared" si="16"/>
        <v>29077</v>
      </c>
      <c r="V43" s="1127">
        <f t="shared" si="16"/>
        <v>28754</v>
      </c>
      <c r="W43" s="1126">
        <f t="shared" si="16"/>
        <v>28431</v>
      </c>
      <c r="X43" s="144">
        <f t="shared" si="16"/>
        <v>28108</v>
      </c>
      <c r="Y43" s="82">
        <f t="shared" si="16"/>
        <v>27785</v>
      </c>
    </row>
    <row r="44" spans="2:25" x14ac:dyDescent="0.2">
      <c r="B44" s="1134" t="s">
        <v>694</v>
      </c>
      <c r="C44" s="833"/>
      <c r="D44" s="86">
        <v>8815</v>
      </c>
      <c r="E44" s="1135"/>
      <c r="F44" s="1136"/>
      <c r="G44" s="6"/>
      <c r="H44" s="6"/>
      <c r="I44" s="6"/>
      <c r="J44" s="6"/>
      <c r="K44" s="6"/>
      <c r="L44" s="3"/>
      <c r="M44" s="3"/>
      <c r="N44" s="3"/>
      <c r="O44" s="6"/>
      <c r="P44" s="6"/>
      <c r="Q44" s="6">
        <f>+D44+Q22</f>
        <v>8374</v>
      </c>
      <c r="R44" s="82">
        <f t="shared" si="16"/>
        <v>7933</v>
      </c>
      <c r="S44" s="82">
        <f t="shared" si="16"/>
        <v>7492</v>
      </c>
      <c r="T44" s="82">
        <f t="shared" si="16"/>
        <v>7051</v>
      </c>
      <c r="U44" s="82">
        <f t="shared" si="16"/>
        <v>6610</v>
      </c>
      <c r="V44" s="1127">
        <f t="shared" si="16"/>
        <v>6169</v>
      </c>
      <c r="W44" s="1126">
        <f t="shared" si="16"/>
        <v>5728</v>
      </c>
      <c r="X44" s="144">
        <f t="shared" si="16"/>
        <v>5287</v>
      </c>
      <c r="Y44" s="82">
        <f t="shared" si="16"/>
        <v>4846</v>
      </c>
    </row>
    <row r="45" spans="2:25" ht="16" thickBot="1" x14ac:dyDescent="0.25">
      <c r="B45" s="1429"/>
      <c r="C45" s="1430"/>
      <c r="D45" s="1431">
        <f>SUM(D42:D44)</f>
        <v>58818</v>
      </c>
      <c r="E45" s="1432"/>
      <c r="F45" s="1433">
        <f t="shared" ref="F45:Y45" si="17">SUM(F42:F44)</f>
        <v>4500</v>
      </c>
      <c r="G45" s="1433">
        <f t="shared" si="17"/>
        <v>4000</v>
      </c>
      <c r="H45" s="1433">
        <f t="shared" si="17"/>
        <v>4000</v>
      </c>
      <c r="I45" s="1433">
        <f t="shared" si="17"/>
        <v>3500</v>
      </c>
      <c r="J45" s="1433">
        <f t="shared" si="17"/>
        <v>3000</v>
      </c>
      <c r="K45" s="1433">
        <f t="shared" si="17"/>
        <v>3556</v>
      </c>
      <c r="L45" s="1433">
        <f t="shared" si="17"/>
        <v>35522</v>
      </c>
      <c r="M45" s="1433">
        <f t="shared" si="17"/>
        <v>34249</v>
      </c>
      <c r="N45" s="1433">
        <f t="shared" si="17"/>
        <v>34618</v>
      </c>
      <c r="O45" s="1433">
        <f t="shared" si="17"/>
        <v>37933</v>
      </c>
      <c r="P45" s="1433">
        <f t="shared" si="17"/>
        <v>35592.400000000001</v>
      </c>
      <c r="Q45" s="1433">
        <f t="shared" si="17"/>
        <v>42806.400000000001</v>
      </c>
      <c r="R45" s="1433">
        <f t="shared" si="17"/>
        <v>41697.4</v>
      </c>
      <c r="S45" s="1433">
        <f t="shared" si="17"/>
        <v>41323.4</v>
      </c>
      <c r="T45" s="1433">
        <f t="shared" si="17"/>
        <v>39839.4</v>
      </c>
      <c r="U45" s="1433">
        <f t="shared" si="17"/>
        <v>38505</v>
      </c>
      <c r="V45" s="1434">
        <f t="shared" si="17"/>
        <v>37169</v>
      </c>
      <c r="W45" s="1435">
        <f t="shared" si="17"/>
        <v>34606</v>
      </c>
      <c r="X45" s="2123">
        <f t="shared" si="17"/>
        <v>33395</v>
      </c>
      <c r="Y45" s="2124">
        <f t="shared" si="17"/>
        <v>32631</v>
      </c>
    </row>
    <row r="46" spans="2:25" ht="16" thickTop="1" x14ac:dyDescent="0.2"/>
  </sheetData>
  <sortState xmlns:xlrd2="http://schemas.microsoft.com/office/spreadsheetml/2017/richdata2" ref="B18:Y19">
    <sortCondition descending="1" ref="B18:B19"/>
  </sortState>
  <mergeCells count="8">
    <mergeCell ref="B28:C28"/>
    <mergeCell ref="B24:C24"/>
    <mergeCell ref="B25:C25"/>
    <mergeCell ref="B1:W1"/>
    <mergeCell ref="B3:W3"/>
    <mergeCell ref="B4:W4"/>
    <mergeCell ref="B26:W26"/>
    <mergeCell ref="B27:W27"/>
  </mergeCells>
  <conditionalFormatting sqref="A14:A15">
    <cfRule type="cellIs" dxfId="1" priority="2" operator="equal">
      <formula>0</formula>
    </cfRule>
  </conditionalFormatting>
  <conditionalFormatting sqref="B1 A18 A20:A21">
    <cfRule type="cellIs" dxfId="0" priority="7" operator="equal">
      <formula>0</formula>
    </cfRule>
  </conditionalFormatting>
  <hyperlinks>
    <hyperlink ref="B1" location="Summary!A1" display="Summary!A1" xr:uid="{B1EEE65B-CF9B-460F-87F2-5EBFBB8B169E}"/>
    <hyperlink ref="W15" location="Summary!T99" display="Summary!T99" xr:uid="{2F92798A-0380-4394-B4EC-34470EA78FAA}"/>
    <hyperlink ref="W16" location="Summary!T100" display="Summary!T100" xr:uid="{802E553D-2859-4D11-B172-748B95AE24D2}"/>
    <hyperlink ref="W21" location="Summary!T101" display="Summary!T101" xr:uid="{10496408-665F-4854-9CFB-A3922EB35847}"/>
    <hyperlink ref="W18" location="Summary!T102" display="Summary!T102" xr:uid="{8E60A4D7-8283-4C52-BDDB-17A17DD6A1BA}"/>
    <hyperlink ref="W22" location="Summary!T103" display="Summary!T103" xr:uid="{5BB13E9B-4211-45F0-863C-B8365366D11B}"/>
    <hyperlink ref="W19" location="Summary!T104" display="Summary!T104" xr:uid="{F5491324-441F-4195-8A35-0697A730B034}"/>
    <hyperlink ref="W25" location="Summary!T105" display="Summary!T105" xr:uid="{01183DFC-DAA9-4220-AF21-F69EEF25CE1C}"/>
  </hyperlinks>
  <printOptions horizontalCentered="1"/>
  <pageMargins left="0.39370078740157483" right="0.23622047244094491" top="0.74803149606299213" bottom="0.74803149606299213"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FF00"/>
    <pageSetUpPr fitToPage="1"/>
  </sheetPr>
  <dimension ref="A1:AA273"/>
  <sheetViews>
    <sheetView zoomScaleNormal="100" zoomScaleSheetLayoutView="100" workbookViewId="0">
      <pane xSplit="15" ySplit="137" topLeftCell="P235" activePane="bottomRight" state="frozen"/>
      <selection activeCell="Y257" sqref="Y257"/>
      <selection pane="topRight" activeCell="Y257" sqref="Y257"/>
      <selection pane="bottomLeft" activeCell="Y257" sqref="Y257"/>
      <selection pane="bottomRight" activeCell="Y257" sqref="Y257"/>
    </sheetView>
  </sheetViews>
  <sheetFormatPr baseColWidth="10" defaultColWidth="0" defaultRowHeight="15" x14ac:dyDescent="0.2"/>
  <cols>
    <col min="1" max="1" width="5" style="2" bestFit="1" customWidth="1"/>
    <col min="2" max="2" width="34" style="2" bestFit="1" customWidth="1"/>
    <col min="3" max="3" width="7.83203125" style="2" hidden="1" customWidth="1"/>
    <col min="4" max="4" width="9.1640625" style="2" hidden="1" customWidth="1"/>
    <col min="5" max="5" width="6.83203125" style="2" hidden="1" customWidth="1"/>
    <col min="6" max="6" width="8.5" style="2" hidden="1" customWidth="1"/>
    <col min="7" max="7" width="7.83203125" style="2" hidden="1" customWidth="1"/>
    <col min="8" max="8" width="8" style="2" hidden="1" customWidth="1"/>
    <col min="9" max="9" width="9.1640625" style="2" hidden="1" customWidth="1"/>
    <col min="10" max="11" width="8.5" style="2" hidden="1" customWidth="1"/>
    <col min="12" max="12" width="10.5" style="2" hidden="1" customWidth="1"/>
    <col min="13" max="13" width="8.1640625" style="2" hidden="1" customWidth="1"/>
    <col min="14" max="14" width="9.33203125" style="2" hidden="1" customWidth="1"/>
    <col min="15" max="15" width="10.1640625" style="2" hidden="1" customWidth="1"/>
    <col min="16" max="16" width="10.1640625" style="2" customWidth="1"/>
    <col min="17" max="17" width="10.5" style="2" customWidth="1"/>
    <col min="18" max="18" width="8.1640625" style="2" customWidth="1"/>
    <col min="19" max="19" width="9.33203125" style="2" customWidth="1"/>
    <col min="20" max="20" width="8.83203125" style="2" bestFit="1" customWidth="1"/>
    <col min="21" max="21" width="8.5" style="2" customWidth="1"/>
    <col min="22" max="22" width="10.5" style="2" customWidth="1"/>
    <col min="23" max="23" width="8.1640625" style="2" customWidth="1"/>
    <col min="24" max="24" width="9.33203125" style="2" customWidth="1"/>
    <col min="25" max="25" width="8.1640625" style="2" customWidth="1"/>
    <col min="26" max="26" width="7.6640625" style="2" customWidth="1"/>
    <col min="27" max="27" width="10.83203125" style="2" customWidth="1"/>
    <col min="28" max="16384" width="10.83203125" style="2" hidden="1"/>
  </cols>
  <sheetData>
    <row r="1" spans="1:26" s="1683" customFormat="1" ht="24" x14ac:dyDescent="0.2">
      <c r="A1" s="1682">
        <v>1</v>
      </c>
      <c r="B1" s="2289" t="s">
        <v>725</v>
      </c>
      <c r="C1" s="2289"/>
      <c r="D1" s="2289"/>
      <c r="E1" s="2289"/>
      <c r="F1" s="2289"/>
      <c r="G1" s="2289"/>
      <c r="H1" s="2289"/>
      <c r="I1" s="2289"/>
      <c r="J1" s="2289"/>
      <c r="K1" s="2289"/>
      <c r="L1" s="2289"/>
      <c r="M1" s="2289"/>
      <c r="N1" s="2289"/>
      <c r="O1" s="2289"/>
      <c r="P1" s="2289"/>
      <c r="Q1" s="2289"/>
      <c r="R1" s="2289"/>
      <c r="S1" s="2289"/>
      <c r="T1" s="2289"/>
      <c r="U1" s="2289"/>
      <c r="V1" s="2289"/>
      <c r="W1" s="2289"/>
      <c r="X1" s="2289"/>
      <c r="Y1" s="2289"/>
      <c r="Z1" s="2289"/>
    </row>
    <row r="2" spans="1:26" s="1906" customFormat="1" ht="23.5" customHeight="1" x14ac:dyDescent="0.2">
      <c r="A2" s="2127">
        <v>2</v>
      </c>
    </row>
    <row r="3" spans="1:26" x14ac:dyDescent="0.2">
      <c r="A3" s="274">
        <v>3</v>
      </c>
      <c r="B3" s="1451" t="s">
        <v>853</v>
      </c>
      <c r="C3" s="1452"/>
      <c r="D3" s="1452"/>
      <c r="E3" s="1452"/>
      <c r="F3" s="1452"/>
      <c r="G3" s="1452"/>
      <c r="H3" s="1452"/>
      <c r="I3" s="1452"/>
      <c r="J3" s="1452"/>
      <c r="K3" s="1452"/>
      <c r="L3" s="1452"/>
      <c r="M3" s="1452"/>
      <c r="N3" s="1452"/>
      <c r="O3" s="1452"/>
      <c r="P3" s="2290" t="s">
        <v>481</v>
      </c>
      <c r="Q3" s="2290"/>
      <c r="R3" s="2290"/>
      <c r="S3" s="2290"/>
      <c r="T3" s="2291"/>
      <c r="U3" s="2292" t="s">
        <v>519</v>
      </c>
      <c r="V3" s="2293"/>
      <c r="W3" s="2293"/>
      <c r="X3" s="2293"/>
      <c r="Y3" s="2293"/>
      <c r="Z3" s="2293"/>
    </row>
    <row r="4" spans="1:26" s="1345" customFormat="1" x14ac:dyDescent="0.2">
      <c r="A4" s="1682">
        <v>4</v>
      </c>
      <c r="B4" s="1453"/>
      <c r="C4" s="2281">
        <v>2021</v>
      </c>
      <c r="D4" s="2282"/>
      <c r="E4" s="2283"/>
      <c r="F4" s="2281">
        <v>2022</v>
      </c>
      <c r="G4" s="2282"/>
      <c r="H4" s="2282"/>
      <c r="I4" s="2282"/>
      <c r="J4" s="2284"/>
      <c r="K4" s="2281">
        <v>2023</v>
      </c>
      <c r="L4" s="2282"/>
      <c r="M4" s="2282"/>
      <c r="N4" s="2282"/>
      <c r="O4" s="2284"/>
      <c r="P4" s="1484">
        <v>2023</v>
      </c>
      <c r="Q4" s="2282">
        <v>2024</v>
      </c>
      <c r="R4" s="2282"/>
      <c r="S4" s="2282"/>
      <c r="T4" s="2283"/>
      <c r="U4" s="2281">
        <v>2025</v>
      </c>
      <c r="V4" s="2282"/>
      <c r="W4" s="2282"/>
      <c r="X4" s="2282"/>
      <c r="Y4" s="2282"/>
      <c r="Z4" s="2284"/>
    </row>
    <row r="5" spans="1:26" s="1345" customFormat="1" ht="32" x14ac:dyDescent="0.2">
      <c r="A5" s="2127">
        <v>5</v>
      </c>
      <c r="B5" s="1454" t="s">
        <v>163</v>
      </c>
      <c r="C5" s="1455" t="s">
        <v>637</v>
      </c>
      <c r="D5" s="443" t="s">
        <v>636</v>
      </c>
      <c r="E5" s="1456" t="s">
        <v>7</v>
      </c>
      <c r="F5" s="1455" t="s">
        <v>918</v>
      </c>
      <c r="G5" s="133" t="s">
        <v>637</v>
      </c>
      <c r="H5" s="133" t="s">
        <v>854</v>
      </c>
      <c r="I5" s="133" t="s">
        <v>636</v>
      </c>
      <c r="J5" s="133" t="s">
        <v>7</v>
      </c>
      <c r="K5" s="1455" t="s">
        <v>918</v>
      </c>
      <c r="L5" s="133" t="s">
        <v>637</v>
      </c>
      <c r="M5" s="133" t="s">
        <v>854</v>
      </c>
      <c r="N5" s="133" t="s">
        <v>636</v>
      </c>
      <c r="O5" s="133" t="s">
        <v>7</v>
      </c>
      <c r="P5" s="664" t="s">
        <v>520</v>
      </c>
      <c r="Q5" s="133" t="s">
        <v>637</v>
      </c>
      <c r="R5" s="133" t="s">
        <v>854</v>
      </c>
      <c r="S5" s="133" t="s">
        <v>636</v>
      </c>
      <c r="T5" s="133" t="s">
        <v>421</v>
      </c>
      <c r="U5" s="1455" t="s">
        <v>918</v>
      </c>
      <c r="V5" s="133" t="s">
        <v>637</v>
      </c>
      <c r="W5" s="133" t="s">
        <v>854</v>
      </c>
      <c r="X5" s="133" t="s">
        <v>636</v>
      </c>
      <c r="Y5" s="133" t="s">
        <v>7</v>
      </c>
      <c r="Z5" s="133" t="s">
        <v>421</v>
      </c>
    </row>
    <row r="6" spans="1:26" hidden="1" x14ac:dyDescent="0.2">
      <c r="A6" s="274">
        <v>6</v>
      </c>
      <c r="B6" s="1187" t="s">
        <v>71</v>
      </c>
      <c r="C6" s="744" t="s">
        <v>861</v>
      </c>
      <c r="D6" s="743"/>
      <c r="E6" s="740"/>
      <c r="F6" s="744" t="s">
        <v>916</v>
      </c>
      <c r="G6" s="797"/>
      <c r="H6" s="797"/>
      <c r="I6" s="795"/>
      <c r="J6" s="739"/>
      <c r="K6" s="744" t="s">
        <v>916</v>
      </c>
      <c r="L6" s="1055"/>
      <c r="M6" s="1055"/>
      <c r="N6" s="880"/>
      <c r="O6" s="1056"/>
      <c r="P6" s="1485"/>
      <c r="Q6" s="1055"/>
      <c r="R6" s="1055"/>
      <c r="S6" s="880"/>
      <c r="T6" s="1056"/>
      <c r="U6" s="744" t="s">
        <v>916</v>
      </c>
      <c r="V6" s="1055"/>
      <c r="W6" s="1055"/>
      <c r="X6" s="880"/>
      <c r="Y6" s="880"/>
      <c r="Z6" s="1056"/>
    </row>
    <row r="7" spans="1:26" hidden="1" x14ac:dyDescent="0.2">
      <c r="A7" s="1682">
        <v>7</v>
      </c>
      <c r="B7" s="1188" t="s">
        <v>78</v>
      </c>
      <c r="C7" s="744" t="s">
        <v>861</v>
      </c>
      <c r="D7" s="743"/>
      <c r="E7" s="740"/>
      <c r="F7" s="744" t="s">
        <v>917</v>
      </c>
      <c r="G7" s="797"/>
      <c r="H7" s="797"/>
      <c r="I7" s="795"/>
      <c r="J7" s="739"/>
      <c r="K7" s="744" t="s">
        <v>917</v>
      </c>
      <c r="L7" s="1055"/>
      <c r="M7" s="1055"/>
      <c r="N7" s="880"/>
      <c r="O7" s="1056"/>
      <c r="P7" s="1485"/>
      <c r="Q7" s="1055"/>
      <c r="R7" s="1055"/>
      <c r="S7" s="880"/>
      <c r="T7" s="1056"/>
      <c r="U7" s="744" t="s">
        <v>917</v>
      </c>
      <c r="V7" s="1055"/>
      <c r="W7" s="1055"/>
      <c r="X7" s="880"/>
      <c r="Y7" s="880"/>
      <c r="Z7" s="1056"/>
    </row>
    <row r="8" spans="1:26" hidden="1" x14ac:dyDescent="0.2">
      <c r="A8" s="2127">
        <v>8</v>
      </c>
      <c r="B8" s="1189" t="s">
        <v>92</v>
      </c>
      <c r="C8" s="744" t="s">
        <v>861</v>
      </c>
      <c r="D8" s="743"/>
      <c r="E8" s="740"/>
      <c r="F8" s="744" t="s">
        <v>916</v>
      </c>
      <c r="G8" s="797"/>
      <c r="H8" s="797"/>
      <c r="I8" s="795"/>
      <c r="J8" s="739"/>
      <c r="K8" s="744" t="s">
        <v>916</v>
      </c>
      <c r="L8" s="1055"/>
      <c r="M8" s="1055"/>
      <c r="N8" s="880"/>
      <c r="O8" s="1056"/>
      <c r="P8" s="1485"/>
      <c r="Q8" s="1055"/>
      <c r="R8" s="1055"/>
      <c r="S8" s="880"/>
      <c r="T8" s="1056"/>
      <c r="U8" s="744" t="s">
        <v>916</v>
      </c>
      <c r="V8" s="1055"/>
      <c r="W8" s="1055"/>
      <c r="X8" s="880"/>
      <c r="Y8" s="880"/>
      <c r="Z8" s="1056"/>
    </row>
    <row r="9" spans="1:26" hidden="1" x14ac:dyDescent="0.2">
      <c r="A9" s="274">
        <v>9</v>
      </c>
      <c r="B9" s="1189"/>
      <c r="C9" s="744"/>
      <c r="D9" s="743"/>
      <c r="E9" s="814"/>
      <c r="F9" s="738"/>
      <c r="G9" s="797"/>
      <c r="H9" s="797"/>
      <c r="I9" s="739"/>
      <c r="J9" s="739"/>
      <c r="K9" s="738"/>
      <c r="L9" s="1055"/>
      <c r="M9" s="1055"/>
      <c r="N9" s="1056"/>
      <c r="O9" s="1056"/>
      <c r="P9" s="1485"/>
      <c r="Q9" s="1055"/>
      <c r="R9" s="1055"/>
      <c r="S9" s="1056"/>
      <c r="T9" s="1056"/>
      <c r="U9" s="738"/>
      <c r="V9" s="1055"/>
      <c r="W9" s="1055"/>
      <c r="X9" s="1056"/>
      <c r="Y9" s="1056"/>
      <c r="Z9" s="1056"/>
    </row>
    <row r="10" spans="1:26" hidden="1" x14ac:dyDescent="0.2">
      <c r="A10" s="1682">
        <v>10</v>
      </c>
      <c r="B10" s="1188" t="s">
        <v>108</v>
      </c>
      <c r="C10" s="744" t="s">
        <v>861</v>
      </c>
      <c r="D10" s="743"/>
      <c r="E10" s="740"/>
      <c r="F10" s="744" t="s">
        <v>916</v>
      </c>
      <c r="G10" s="797"/>
      <c r="H10" s="797"/>
      <c r="I10" s="795"/>
      <c r="J10" s="739"/>
      <c r="K10" s="744" t="s">
        <v>916</v>
      </c>
      <c r="L10" s="1055"/>
      <c r="M10" s="1055"/>
      <c r="N10" s="880"/>
      <c r="O10" s="1056"/>
      <c r="P10" s="1485"/>
      <c r="Q10" s="1055"/>
      <c r="R10" s="1055"/>
      <c r="S10" s="880"/>
      <c r="T10" s="1056"/>
      <c r="U10" s="744" t="s">
        <v>916</v>
      </c>
      <c r="V10" s="1055"/>
      <c r="W10" s="1055"/>
      <c r="X10" s="880"/>
      <c r="Y10" s="880"/>
      <c r="Z10" s="1056"/>
    </row>
    <row r="11" spans="1:26" hidden="1" x14ac:dyDescent="0.2">
      <c r="A11" s="2127">
        <v>11</v>
      </c>
      <c r="B11" s="1189" t="s">
        <v>111</v>
      </c>
      <c r="C11" s="744" t="s">
        <v>861</v>
      </c>
      <c r="D11" s="743"/>
      <c r="E11" s="740"/>
      <c r="F11" s="744" t="s">
        <v>917</v>
      </c>
      <c r="G11" s="797"/>
      <c r="H11" s="797"/>
      <c r="I11" s="795"/>
      <c r="J11" s="739"/>
      <c r="K11" s="744" t="s">
        <v>917</v>
      </c>
      <c r="L11" s="1055"/>
      <c r="M11" s="1055"/>
      <c r="N11" s="880"/>
      <c r="O11" s="1056"/>
      <c r="P11" s="1485"/>
      <c r="Q11" s="1055"/>
      <c r="R11" s="1055"/>
      <c r="S11" s="880"/>
      <c r="T11" s="1056"/>
      <c r="U11" s="744" t="s">
        <v>917</v>
      </c>
      <c r="V11" s="1055"/>
      <c r="W11" s="1055"/>
      <c r="X11" s="880"/>
      <c r="Y11" s="880"/>
      <c r="Z11" s="1056"/>
    </row>
    <row r="12" spans="1:26" hidden="1" x14ac:dyDescent="0.2">
      <c r="A12" s="274">
        <v>12</v>
      </c>
      <c r="B12" s="1188" t="s">
        <v>127</v>
      </c>
      <c r="C12" s="744" t="s">
        <v>861</v>
      </c>
      <c r="D12" s="743"/>
      <c r="E12" s="740"/>
      <c r="F12" s="1457" t="s">
        <v>895</v>
      </c>
      <c r="G12" s="797"/>
      <c r="H12" s="797"/>
      <c r="I12" s="795"/>
      <c r="J12" s="739"/>
      <c r="K12" s="1457" t="s">
        <v>895</v>
      </c>
      <c r="L12" s="1055"/>
      <c r="M12" s="1055"/>
      <c r="N12" s="880"/>
      <c r="O12" s="1056"/>
      <c r="P12" s="1485"/>
      <c r="Q12" s="1055"/>
      <c r="R12" s="1055"/>
      <c r="S12" s="880"/>
      <c r="T12" s="1056"/>
      <c r="U12" s="1457" t="s">
        <v>895</v>
      </c>
      <c r="V12" s="1055"/>
      <c r="W12" s="1055"/>
      <c r="X12" s="880"/>
      <c r="Y12" s="880"/>
      <c r="Z12" s="1056"/>
    </row>
    <row r="13" spans="1:26" hidden="1" x14ac:dyDescent="0.2">
      <c r="A13" s="1682">
        <v>13</v>
      </c>
      <c r="B13" s="1188" t="s">
        <v>129</v>
      </c>
      <c r="C13" s="744" t="s">
        <v>861</v>
      </c>
      <c r="D13" s="743"/>
      <c r="E13" s="740"/>
      <c r="F13" s="744" t="s">
        <v>917</v>
      </c>
      <c r="G13" s="797"/>
      <c r="H13" s="797"/>
      <c r="I13" s="795"/>
      <c r="J13" s="739"/>
      <c r="K13" s="744" t="s">
        <v>917</v>
      </c>
      <c r="L13" s="1055"/>
      <c r="M13" s="1055"/>
      <c r="N13" s="880"/>
      <c r="O13" s="1056"/>
      <c r="P13" s="1485"/>
      <c r="Q13" s="1055"/>
      <c r="R13" s="1055"/>
      <c r="S13" s="880"/>
      <c r="T13" s="1056"/>
      <c r="U13" s="744" t="s">
        <v>917</v>
      </c>
      <c r="V13" s="1055"/>
      <c r="W13" s="1055"/>
      <c r="X13" s="880"/>
      <c r="Y13" s="880"/>
      <c r="Z13" s="1056"/>
    </row>
    <row r="14" spans="1:26" hidden="1" x14ac:dyDescent="0.2">
      <c r="A14" s="2127">
        <v>14</v>
      </c>
      <c r="B14" s="1188" t="s">
        <v>133</v>
      </c>
      <c r="C14" s="744" t="s">
        <v>861</v>
      </c>
      <c r="D14" s="743"/>
      <c r="E14" s="740"/>
      <c r="F14" s="744" t="s">
        <v>917</v>
      </c>
      <c r="G14" s="797"/>
      <c r="H14" s="797"/>
      <c r="I14" s="795"/>
      <c r="J14" s="739"/>
      <c r="K14" s="744" t="s">
        <v>917</v>
      </c>
      <c r="L14" s="1055"/>
      <c r="M14" s="1055"/>
      <c r="N14" s="880"/>
      <c r="O14" s="1056"/>
      <c r="P14" s="1485"/>
      <c r="Q14" s="1055"/>
      <c r="R14" s="1055"/>
      <c r="S14" s="880"/>
      <c r="T14" s="1056"/>
      <c r="U14" s="744" t="s">
        <v>917</v>
      </c>
      <c r="V14" s="1055"/>
      <c r="W14" s="1055"/>
      <c r="X14" s="880"/>
      <c r="Y14" s="880"/>
      <c r="Z14" s="1056"/>
    </row>
    <row r="15" spans="1:26" hidden="1" x14ac:dyDescent="0.2">
      <c r="A15" s="274">
        <v>15</v>
      </c>
      <c r="B15" s="1189" t="s">
        <v>148</v>
      </c>
      <c r="C15" s="738">
        <v>45</v>
      </c>
      <c r="D15" s="743"/>
      <c r="E15" s="740"/>
      <c r="F15" s="744" t="s">
        <v>916</v>
      </c>
      <c r="G15" s="739"/>
      <c r="H15" s="739">
        <v>45</v>
      </c>
      <c r="I15" s="739"/>
      <c r="J15" s="739"/>
      <c r="K15" s="744" t="s">
        <v>916</v>
      </c>
      <c r="L15" s="1056"/>
      <c r="M15" s="1056">
        <v>55</v>
      </c>
      <c r="N15" s="1056"/>
      <c r="O15" s="1056"/>
      <c r="P15" s="1485"/>
      <c r="Q15" s="1056"/>
      <c r="R15" s="1056">
        <v>45</v>
      </c>
      <c r="S15" s="1056"/>
      <c r="T15" s="1056"/>
      <c r="U15" s="744" t="s">
        <v>916</v>
      </c>
      <c r="V15" s="1056"/>
      <c r="W15" s="1056">
        <v>45</v>
      </c>
      <c r="X15" s="1056"/>
      <c r="Y15" s="1056"/>
      <c r="Z15" s="1056"/>
    </row>
    <row r="16" spans="1:26" hidden="1" x14ac:dyDescent="0.2">
      <c r="A16" s="1682">
        <v>16</v>
      </c>
      <c r="B16" s="1189" t="s">
        <v>152</v>
      </c>
      <c r="C16" s="744" t="s">
        <v>861</v>
      </c>
      <c r="D16" s="743">
        <v>5</v>
      </c>
      <c r="E16" s="740"/>
      <c r="F16" s="744" t="s">
        <v>917</v>
      </c>
      <c r="G16" s="797"/>
      <c r="H16" s="813"/>
      <c r="I16" s="739"/>
      <c r="J16" s="1458"/>
      <c r="K16" s="744" t="s">
        <v>917</v>
      </c>
      <c r="L16" s="1055"/>
      <c r="M16" s="813"/>
      <c r="N16" s="1056"/>
      <c r="O16" s="1056"/>
      <c r="P16" s="1485"/>
      <c r="Q16" s="1055"/>
      <c r="R16" s="813"/>
      <c r="S16" s="1056"/>
      <c r="T16" s="1056"/>
      <c r="U16" s="744" t="s">
        <v>917</v>
      </c>
      <c r="V16" s="1055"/>
      <c r="W16" s="813"/>
      <c r="X16" s="1056"/>
      <c r="Y16" s="1056"/>
      <c r="Z16" s="1056"/>
    </row>
    <row r="17" spans="1:26" hidden="1" x14ac:dyDescent="0.2">
      <c r="A17" s="2127">
        <v>17</v>
      </c>
      <c r="B17" s="1189"/>
      <c r="C17" s="744"/>
      <c r="D17" s="743"/>
      <c r="E17" s="740"/>
      <c r="F17" s="974" t="s">
        <v>916</v>
      </c>
      <c r="G17" s="2285" t="s">
        <v>969</v>
      </c>
      <c r="H17" s="2286"/>
      <c r="I17" s="2286"/>
      <c r="J17" s="2287"/>
      <c r="K17" s="974" t="s">
        <v>916</v>
      </c>
      <c r="L17" s="2285" t="s">
        <v>969</v>
      </c>
      <c r="M17" s="2286"/>
      <c r="N17" s="2286"/>
      <c r="O17" s="2288"/>
      <c r="P17" s="1483"/>
      <c r="Q17" s="2285" t="s">
        <v>969</v>
      </c>
      <c r="R17" s="2286"/>
      <c r="S17" s="2286"/>
      <c r="T17" s="2288"/>
      <c r="U17" s="974" t="s">
        <v>916</v>
      </c>
      <c r="V17" s="2285" t="s">
        <v>969</v>
      </c>
      <c r="W17" s="2286"/>
      <c r="X17" s="2286"/>
      <c r="Y17" s="2286"/>
      <c r="Z17" s="2288"/>
    </row>
    <row r="18" spans="1:26" hidden="1" x14ac:dyDescent="0.2">
      <c r="A18" s="274">
        <v>18</v>
      </c>
      <c r="B18" s="1188"/>
      <c r="C18" s="738"/>
      <c r="D18" s="743"/>
      <c r="E18" s="740"/>
      <c r="F18" s="974" t="s">
        <v>917</v>
      </c>
      <c r="G18" s="2285" t="s">
        <v>970</v>
      </c>
      <c r="H18" s="2286"/>
      <c r="I18" s="2286"/>
      <c r="J18" s="2287"/>
      <c r="K18" s="974" t="s">
        <v>917</v>
      </c>
      <c r="L18" s="2285" t="s">
        <v>970</v>
      </c>
      <c r="M18" s="2286"/>
      <c r="N18" s="2286"/>
      <c r="O18" s="2288"/>
      <c r="P18" s="1483"/>
      <c r="Q18" s="2285" t="s">
        <v>970</v>
      </c>
      <c r="R18" s="2286"/>
      <c r="S18" s="2286"/>
      <c r="T18" s="2288"/>
      <c r="U18" s="974" t="s">
        <v>917</v>
      </c>
      <c r="V18" s="2285" t="s">
        <v>970</v>
      </c>
      <c r="W18" s="2286"/>
      <c r="X18" s="2286"/>
      <c r="Y18" s="2286"/>
      <c r="Z18" s="2288"/>
    </row>
    <row r="19" spans="1:26" hidden="1" x14ac:dyDescent="0.2">
      <c r="A19" s="1682">
        <v>19</v>
      </c>
      <c r="B19" s="1190" t="s">
        <v>72</v>
      </c>
      <c r="C19" s="738">
        <v>45</v>
      </c>
      <c r="D19" s="739"/>
      <c r="E19" s="740"/>
      <c r="F19" s="798" t="s">
        <v>637</v>
      </c>
      <c r="G19" s="739">
        <v>45</v>
      </c>
      <c r="H19" s="739"/>
      <c r="I19" s="739"/>
      <c r="J19" s="739"/>
      <c r="K19" s="798" t="s">
        <v>637</v>
      </c>
      <c r="L19" s="1056">
        <v>45</v>
      </c>
      <c r="M19" s="1056"/>
      <c r="N19" s="1056"/>
      <c r="O19" s="1056"/>
      <c r="P19" s="1485"/>
      <c r="Q19" s="1056">
        <v>45</v>
      </c>
      <c r="R19" s="1056"/>
      <c r="S19" s="1056"/>
      <c r="T19" s="1056"/>
      <c r="U19" s="798" t="s">
        <v>637</v>
      </c>
      <c r="V19" s="1056">
        <v>45</v>
      </c>
      <c r="W19" s="1056"/>
      <c r="X19" s="1056"/>
      <c r="Y19" s="1056"/>
      <c r="Z19" s="1056"/>
    </row>
    <row r="20" spans="1:26" hidden="1" x14ac:dyDescent="0.2">
      <c r="A20" s="2127">
        <v>20</v>
      </c>
      <c r="B20" s="1191" t="s">
        <v>73</v>
      </c>
      <c r="C20" s="738">
        <v>45</v>
      </c>
      <c r="D20" s="739"/>
      <c r="E20" s="740"/>
      <c r="F20" s="798" t="s">
        <v>637</v>
      </c>
      <c r="G20" s="739">
        <v>45</v>
      </c>
      <c r="H20" s="739"/>
      <c r="I20" s="739"/>
      <c r="J20" s="739"/>
      <c r="K20" s="798" t="s">
        <v>637</v>
      </c>
      <c r="L20" s="1056">
        <v>45</v>
      </c>
      <c r="M20" s="1056"/>
      <c r="N20" s="1056"/>
      <c r="O20" s="1056"/>
      <c r="P20" s="1485"/>
      <c r="Q20" s="1056">
        <v>45</v>
      </c>
      <c r="R20" s="1056"/>
      <c r="S20" s="1056"/>
      <c r="T20" s="1056"/>
      <c r="U20" s="798" t="s">
        <v>637</v>
      </c>
      <c r="V20" s="1056">
        <v>45</v>
      </c>
      <c r="W20" s="1056"/>
      <c r="X20" s="1056"/>
      <c r="Y20" s="1056"/>
      <c r="Z20" s="1056"/>
    </row>
    <row r="21" spans="1:26" hidden="1" x14ac:dyDescent="0.2">
      <c r="A21" s="274">
        <v>21</v>
      </c>
      <c r="B21" s="1192" t="s">
        <v>867</v>
      </c>
      <c r="C21" s="738"/>
      <c r="D21" s="739">
        <v>5</v>
      </c>
      <c r="E21" s="740"/>
      <c r="F21" s="796" t="s">
        <v>636</v>
      </c>
      <c r="G21" s="739"/>
      <c r="H21" s="739"/>
      <c r="I21" s="739">
        <v>5</v>
      </c>
      <c r="J21" s="739"/>
      <c r="K21" s="796" t="s">
        <v>636</v>
      </c>
      <c r="L21" s="1056"/>
      <c r="M21" s="1056"/>
      <c r="N21" s="1056">
        <v>5</v>
      </c>
      <c r="O21" s="1056"/>
      <c r="P21" s="1485"/>
      <c r="Q21" s="1056"/>
      <c r="R21" s="1056"/>
      <c r="S21" s="1056">
        <v>5</v>
      </c>
      <c r="T21" s="1056"/>
      <c r="U21" s="796" t="s">
        <v>636</v>
      </c>
      <c r="V21" s="1056"/>
      <c r="W21" s="1056"/>
      <c r="X21" s="1056">
        <v>5</v>
      </c>
      <c r="Y21" s="1056"/>
      <c r="Z21" s="1056"/>
    </row>
    <row r="22" spans="1:26" hidden="1" x14ac:dyDescent="0.2">
      <c r="A22" s="1682">
        <v>22</v>
      </c>
      <c r="B22" s="1192" t="s">
        <v>74</v>
      </c>
      <c r="C22" s="738">
        <v>45</v>
      </c>
      <c r="D22" s="739"/>
      <c r="E22" s="740"/>
      <c r="F22" s="798" t="s">
        <v>637</v>
      </c>
      <c r="G22" s="739">
        <v>45</v>
      </c>
      <c r="H22" s="739"/>
      <c r="I22" s="739"/>
      <c r="J22" s="739"/>
      <c r="K22" s="798" t="s">
        <v>637</v>
      </c>
      <c r="L22" s="1056">
        <v>45</v>
      </c>
      <c r="M22" s="1056"/>
      <c r="N22" s="1056"/>
      <c r="O22" s="1056"/>
      <c r="P22" s="1485"/>
      <c r="Q22" s="1056">
        <v>45</v>
      </c>
      <c r="R22" s="1056"/>
      <c r="S22" s="1056"/>
      <c r="T22" s="1056"/>
      <c r="U22" s="798" t="s">
        <v>637</v>
      </c>
      <c r="V22" s="1056">
        <v>45</v>
      </c>
      <c r="W22" s="1056"/>
      <c r="X22" s="1056"/>
      <c r="Y22" s="1056"/>
      <c r="Z22" s="1056"/>
    </row>
    <row r="23" spans="1:26" hidden="1" x14ac:dyDescent="0.2">
      <c r="A23" s="2127">
        <v>23</v>
      </c>
      <c r="B23" s="1191" t="s">
        <v>75</v>
      </c>
      <c r="C23" s="738"/>
      <c r="D23" s="739"/>
      <c r="E23" s="740"/>
      <c r="F23" s="738"/>
      <c r="G23" s="739"/>
      <c r="H23" s="739"/>
      <c r="I23" s="739"/>
      <c r="J23" s="739"/>
      <c r="K23" s="738"/>
      <c r="L23" s="1056"/>
      <c r="M23" s="1056"/>
      <c r="N23" s="1056"/>
      <c r="O23" s="1056"/>
      <c r="P23" s="1485"/>
      <c r="Q23" s="1056"/>
      <c r="R23" s="1056"/>
      <c r="S23" s="1056"/>
      <c r="T23" s="1056"/>
      <c r="U23" s="738"/>
      <c r="V23" s="1056"/>
      <c r="W23" s="1056"/>
      <c r="X23" s="1056"/>
      <c r="Y23" s="1056"/>
      <c r="Z23" s="1056"/>
    </row>
    <row r="24" spans="1:26" hidden="1" x14ac:dyDescent="0.2">
      <c r="A24" s="274">
        <v>24</v>
      </c>
      <c r="B24" s="1193" t="s">
        <v>76</v>
      </c>
      <c r="C24" s="738"/>
      <c r="D24" s="739">
        <v>5</v>
      </c>
      <c r="E24" s="740"/>
      <c r="F24" s="796" t="s">
        <v>636</v>
      </c>
      <c r="G24" s="739">
        <v>45</v>
      </c>
      <c r="H24" s="739"/>
      <c r="I24" s="739"/>
      <c r="J24" s="739"/>
      <c r="K24" s="796" t="s">
        <v>636</v>
      </c>
      <c r="L24" s="1056">
        <v>45</v>
      </c>
      <c r="M24" s="1056"/>
      <c r="N24" s="1056"/>
      <c r="O24" s="1056"/>
      <c r="P24" s="1485"/>
      <c r="Q24" s="1056">
        <v>45</v>
      </c>
      <c r="R24" s="1056"/>
      <c r="S24" s="1056"/>
      <c r="T24" s="1056"/>
      <c r="U24" s="796" t="s">
        <v>636</v>
      </c>
      <c r="V24" s="1056">
        <v>45</v>
      </c>
      <c r="W24" s="1056"/>
      <c r="X24" s="1056"/>
      <c r="Y24" s="1056"/>
      <c r="Z24" s="1056"/>
    </row>
    <row r="25" spans="1:26" hidden="1" x14ac:dyDescent="0.2">
      <c r="A25" s="1682">
        <v>25</v>
      </c>
      <c r="B25" s="1192" t="s">
        <v>77</v>
      </c>
      <c r="C25" s="738">
        <v>45</v>
      </c>
      <c r="D25" s="739"/>
      <c r="E25" s="740"/>
      <c r="F25" s="798" t="s">
        <v>637</v>
      </c>
      <c r="G25" s="739">
        <v>45</v>
      </c>
      <c r="H25" s="739"/>
      <c r="I25" s="739"/>
      <c r="J25" s="739"/>
      <c r="K25" s="798" t="s">
        <v>637</v>
      </c>
      <c r="L25" s="1056">
        <v>45</v>
      </c>
      <c r="M25" s="1056"/>
      <c r="N25" s="1056"/>
      <c r="O25" s="1056"/>
      <c r="P25" s="1485"/>
      <c r="Q25" s="1056">
        <v>45</v>
      </c>
      <c r="R25" s="1056"/>
      <c r="S25" s="1056"/>
      <c r="T25" s="1056"/>
      <c r="U25" s="798" t="s">
        <v>637</v>
      </c>
      <c r="V25" s="1056">
        <v>45</v>
      </c>
      <c r="W25" s="1056"/>
      <c r="X25" s="1056"/>
      <c r="Y25" s="1056"/>
      <c r="Z25" s="1056"/>
    </row>
    <row r="26" spans="1:26" hidden="1" x14ac:dyDescent="0.2">
      <c r="A26" s="2127">
        <v>26</v>
      </c>
      <c r="B26" s="1459" t="s">
        <v>864</v>
      </c>
      <c r="C26" s="738">
        <v>45</v>
      </c>
      <c r="D26" s="739"/>
      <c r="E26" s="740"/>
      <c r="F26" s="798" t="s">
        <v>637</v>
      </c>
      <c r="G26" s="739">
        <v>45</v>
      </c>
      <c r="H26" s="739"/>
      <c r="I26" s="739"/>
      <c r="J26" s="1458"/>
      <c r="K26" s="798" t="s">
        <v>637</v>
      </c>
      <c r="L26" s="1056">
        <v>45</v>
      </c>
      <c r="M26" s="1056"/>
      <c r="N26" s="1056"/>
      <c r="O26" s="1056"/>
      <c r="P26" s="1485"/>
      <c r="Q26" s="1056">
        <v>45</v>
      </c>
      <c r="R26" s="1056"/>
      <c r="S26" s="1056"/>
      <c r="T26" s="1056"/>
      <c r="U26" s="798" t="s">
        <v>637</v>
      </c>
      <c r="V26" s="1056">
        <v>45</v>
      </c>
      <c r="W26" s="1056"/>
      <c r="X26" s="1056"/>
      <c r="Y26" s="1056"/>
      <c r="Z26" s="1056"/>
    </row>
    <row r="27" spans="1:26" hidden="1" x14ac:dyDescent="0.2">
      <c r="A27" s="274">
        <v>27</v>
      </c>
      <c r="B27" s="1192" t="s">
        <v>79</v>
      </c>
      <c r="C27" s="738">
        <v>45</v>
      </c>
      <c r="D27" s="739"/>
      <c r="E27" s="740"/>
      <c r="F27" s="798" t="s">
        <v>637</v>
      </c>
      <c r="G27" s="739">
        <v>45</v>
      </c>
      <c r="H27" s="739"/>
      <c r="I27" s="739"/>
      <c r="J27" s="739"/>
      <c r="K27" s="798" t="s">
        <v>637</v>
      </c>
      <c r="L27" s="1056">
        <v>45</v>
      </c>
      <c r="M27" s="1056"/>
      <c r="N27" s="1056"/>
      <c r="O27" s="1056"/>
      <c r="P27" s="1485"/>
      <c r="Q27" s="1056">
        <v>45</v>
      </c>
      <c r="R27" s="1056"/>
      <c r="S27" s="1056"/>
      <c r="T27" s="1056"/>
      <c r="U27" s="798" t="s">
        <v>637</v>
      </c>
      <c r="V27" s="1056">
        <v>45</v>
      </c>
      <c r="W27" s="1056"/>
      <c r="X27" s="1056"/>
      <c r="Y27" s="1056"/>
      <c r="Z27" s="1056"/>
    </row>
    <row r="28" spans="1:26" hidden="1" x14ac:dyDescent="0.2">
      <c r="A28" s="1682">
        <v>28</v>
      </c>
      <c r="B28" s="1192" t="s">
        <v>80</v>
      </c>
      <c r="C28" s="738"/>
      <c r="D28" s="739">
        <v>5</v>
      </c>
      <c r="E28" s="740"/>
      <c r="F28" s="796" t="s">
        <v>636</v>
      </c>
      <c r="G28" s="739"/>
      <c r="H28" s="739"/>
      <c r="I28" s="739">
        <v>5</v>
      </c>
      <c r="J28" s="739"/>
      <c r="K28" s="796" t="s">
        <v>636</v>
      </c>
      <c r="L28" s="1056"/>
      <c r="M28" s="1056"/>
      <c r="N28" s="1056">
        <v>5</v>
      </c>
      <c r="O28" s="1056"/>
      <c r="P28" s="1485"/>
      <c r="Q28" s="1056"/>
      <c r="R28" s="1056"/>
      <c r="S28" s="1056">
        <v>5</v>
      </c>
      <c r="T28" s="1056"/>
      <c r="U28" s="796" t="s">
        <v>636</v>
      </c>
      <c r="V28" s="1056"/>
      <c r="W28" s="1056"/>
      <c r="X28" s="1056">
        <v>5</v>
      </c>
      <c r="Y28" s="1056"/>
      <c r="Z28" s="1056"/>
    </row>
    <row r="29" spans="1:26" hidden="1" x14ac:dyDescent="0.2">
      <c r="A29" s="2127">
        <v>29</v>
      </c>
      <c r="B29" s="1193" t="s">
        <v>81</v>
      </c>
      <c r="C29" s="738">
        <v>45</v>
      </c>
      <c r="D29" s="739"/>
      <c r="E29" s="740"/>
      <c r="F29" s="798" t="s">
        <v>637</v>
      </c>
      <c r="G29" s="739">
        <v>45</v>
      </c>
      <c r="H29" s="739"/>
      <c r="I29" s="739"/>
      <c r="J29" s="739"/>
      <c r="K29" s="798" t="s">
        <v>637</v>
      </c>
      <c r="L29" s="1056">
        <v>45</v>
      </c>
      <c r="M29" s="1056"/>
      <c r="N29" s="1056"/>
      <c r="O29" s="1056"/>
      <c r="P29" s="1485"/>
      <c r="Q29" s="1056">
        <v>45</v>
      </c>
      <c r="R29" s="1056"/>
      <c r="S29" s="1056"/>
      <c r="T29" s="1056"/>
      <c r="U29" s="798" t="s">
        <v>637</v>
      </c>
      <c r="V29" s="1056">
        <v>45</v>
      </c>
      <c r="W29" s="1056"/>
      <c r="X29" s="1056"/>
      <c r="Y29" s="1056"/>
      <c r="Z29" s="1056"/>
    </row>
    <row r="30" spans="1:26" hidden="1" x14ac:dyDescent="0.2">
      <c r="A30" s="274">
        <v>30</v>
      </c>
      <c r="B30" s="1192" t="s">
        <v>657</v>
      </c>
      <c r="C30" s="744" t="s">
        <v>862</v>
      </c>
      <c r="D30" s="739"/>
      <c r="E30" s="740"/>
      <c r="F30" s="738"/>
      <c r="G30" s="797"/>
      <c r="H30" s="797"/>
      <c r="I30" s="739"/>
      <c r="J30" s="739"/>
      <c r="K30" s="738"/>
      <c r="L30" s="1055"/>
      <c r="M30" s="1055"/>
      <c r="N30" s="1056"/>
      <c r="O30" s="1056"/>
      <c r="P30" s="1485"/>
      <c r="Q30" s="1055"/>
      <c r="R30" s="1055"/>
      <c r="S30" s="1056"/>
      <c r="T30" s="1056"/>
      <c r="U30" s="738"/>
      <c r="V30" s="1055"/>
      <c r="W30" s="1055"/>
      <c r="X30" s="1056"/>
      <c r="Y30" s="1056"/>
      <c r="Z30" s="1056"/>
    </row>
    <row r="31" spans="1:26" hidden="1" x14ac:dyDescent="0.2">
      <c r="A31" s="1682">
        <v>31</v>
      </c>
      <c r="B31" s="1192" t="s">
        <v>658</v>
      </c>
      <c r="C31" s="738">
        <v>45</v>
      </c>
      <c r="D31" s="739"/>
      <c r="E31" s="740"/>
      <c r="F31" s="798" t="s">
        <v>637</v>
      </c>
      <c r="G31" s="739">
        <v>45</v>
      </c>
      <c r="H31" s="739"/>
      <c r="I31" s="739"/>
      <c r="J31" s="739"/>
      <c r="K31" s="798" t="s">
        <v>637</v>
      </c>
      <c r="L31" s="1056">
        <v>45</v>
      </c>
      <c r="M31" s="1056"/>
      <c r="N31" s="1056"/>
      <c r="O31" s="1056"/>
      <c r="P31" s="1485"/>
      <c r="Q31" s="1056">
        <v>45</v>
      </c>
      <c r="R31" s="1056"/>
      <c r="S31" s="1056"/>
      <c r="T31" s="1056"/>
      <c r="U31" s="798" t="s">
        <v>637</v>
      </c>
      <c r="V31" s="1056">
        <v>45</v>
      </c>
      <c r="W31" s="1056"/>
      <c r="X31" s="1056"/>
      <c r="Y31" s="1056"/>
      <c r="Z31" s="1056"/>
    </row>
    <row r="32" spans="1:26" hidden="1" x14ac:dyDescent="0.2">
      <c r="A32" s="2127">
        <v>32</v>
      </c>
      <c r="B32" s="1192" t="s">
        <v>536</v>
      </c>
      <c r="C32" s="738"/>
      <c r="D32" s="739">
        <v>5</v>
      </c>
      <c r="E32" s="740"/>
      <c r="F32" s="796" t="s">
        <v>636</v>
      </c>
      <c r="G32" s="739"/>
      <c r="H32" s="739"/>
      <c r="I32" s="739">
        <v>5</v>
      </c>
      <c r="J32" s="739"/>
      <c r="K32" s="796" t="s">
        <v>636</v>
      </c>
      <c r="L32" s="1056"/>
      <c r="M32" s="1056"/>
      <c r="N32" s="1056">
        <v>5</v>
      </c>
      <c r="O32" s="1056"/>
      <c r="P32" s="1485"/>
      <c r="Q32" s="1056"/>
      <c r="R32" s="1056"/>
      <c r="S32" s="1056">
        <v>5</v>
      </c>
      <c r="T32" s="1056"/>
      <c r="U32" s="796" t="s">
        <v>636</v>
      </c>
      <c r="V32" s="1056"/>
      <c r="W32" s="1056"/>
      <c r="X32" s="1056">
        <v>5</v>
      </c>
      <c r="Y32" s="1056"/>
      <c r="Z32" s="1056"/>
    </row>
    <row r="33" spans="1:26" hidden="1" x14ac:dyDescent="0.2">
      <c r="A33" s="274">
        <v>33</v>
      </c>
      <c r="B33" s="1192" t="s">
        <v>82</v>
      </c>
      <c r="C33" s="738">
        <v>45</v>
      </c>
      <c r="D33" s="739"/>
      <c r="E33" s="740"/>
      <c r="F33" s="798" t="s">
        <v>637</v>
      </c>
      <c r="G33" s="739">
        <v>45</v>
      </c>
      <c r="H33" s="739"/>
      <c r="I33" s="739"/>
      <c r="J33" s="1458"/>
      <c r="K33" s="798" t="s">
        <v>637</v>
      </c>
      <c r="L33" s="1056">
        <v>45</v>
      </c>
      <c r="M33" s="1056"/>
      <c r="N33" s="1056"/>
      <c r="O33" s="1056"/>
      <c r="P33" s="1485"/>
      <c r="Q33" s="1056">
        <v>45</v>
      </c>
      <c r="R33" s="1056"/>
      <c r="S33" s="1056"/>
      <c r="T33" s="1056"/>
      <c r="U33" s="798" t="s">
        <v>637</v>
      </c>
      <c r="V33" s="1056">
        <v>45</v>
      </c>
      <c r="W33" s="1056"/>
      <c r="X33" s="1056"/>
      <c r="Y33" s="1056"/>
      <c r="Z33" s="1056"/>
    </row>
    <row r="34" spans="1:26" hidden="1" x14ac:dyDescent="0.2">
      <c r="A34" s="1682">
        <v>34</v>
      </c>
      <c r="B34" s="1192" t="s">
        <v>83</v>
      </c>
      <c r="C34" s="738">
        <v>45</v>
      </c>
      <c r="D34" s="739"/>
      <c r="E34" s="740"/>
      <c r="F34" s="798" t="s">
        <v>637</v>
      </c>
      <c r="G34" s="739">
        <v>45</v>
      </c>
      <c r="H34" s="739"/>
      <c r="I34" s="739"/>
      <c r="J34" s="739"/>
      <c r="K34" s="798" t="s">
        <v>637</v>
      </c>
      <c r="L34" s="1056">
        <v>45</v>
      </c>
      <c r="M34" s="1056"/>
      <c r="N34" s="1056"/>
      <c r="O34" s="1056"/>
      <c r="P34" s="1485"/>
      <c r="Q34" s="1056">
        <v>45</v>
      </c>
      <c r="R34" s="1056"/>
      <c r="S34" s="1056"/>
      <c r="T34" s="1056"/>
      <c r="U34" s="798" t="s">
        <v>637</v>
      </c>
      <c r="V34" s="1056">
        <v>45</v>
      </c>
      <c r="W34" s="1056"/>
      <c r="X34" s="1056"/>
      <c r="Y34" s="1056"/>
      <c r="Z34" s="1056"/>
    </row>
    <row r="35" spans="1:26" hidden="1" x14ac:dyDescent="0.2">
      <c r="A35" s="2127">
        <v>35</v>
      </c>
      <c r="B35" s="1193" t="s">
        <v>84</v>
      </c>
      <c r="C35" s="738">
        <v>45</v>
      </c>
      <c r="D35" s="739"/>
      <c r="E35" s="740"/>
      <c r="F35" s="798" t="s">
        <v>637</v>
      </c>
      <c r="G35" s="739">
        <v>45</v>
      </c>
      <c r="H35" s="739"/>
      <c r="I35" s="739"/>
      <c r="J35" s="739"/>
      <c r="K35" s="798" t="s">
        <v>637</v>
      </c>
      <c r="L35" s="1056">
        <v>45</v>
      </c>
      <c r="M35" s="1056"/>
      <c r="N35" s="1056"/>
      <c r="O35" s="1056"/>
      <c r="P35" s="1485"/>
      <c r="Q35" s="1056">
        <v>45</v>
      </c>
      <c r="R35" s="1056"/>
      <c r="S35" s="1056"/>
      <c r="T35" s="1056"/>
      <c r="U35" s="798" t="s">
        <v>637</v>
      </c>
      <c r="V35" s="1056">
        <v>45</v>
      </c>
      <c r="W35" s="1056"/>
      <c r="X35" s="1056"/>
      <c r="Y35" s="1056"/>
      <c r="Z35" s="1056"/>
    </row>
    <row r="36" spans="1:26" hidden="1" x14ac:dyDescent="0.2">
      <c r="A36" s="274">
        <v>36</v>
      </c>
      <c r="B36" s="81" t="s">
        <v>1008</v>
      </c>
      <c r="C36" s="738"/>
      <c r="D36" s="739"/>
      <c r="E36" s="740"/>
      <c r="F36" s="798"/>
      <c r="G36" s="739">
        <v>45</v>
      </c>
      <c r="H36" s="739"/>
      <c r="I36" s="739"/>
      <c r="J36" s="739">
        <v>15</v>
      </c>
      <c r="K36" s="798"/>
      <c r="L36" s="1056">
        <v>45</v>
      </c>
      <c r="M36" s="1056"/>
      <c r="N36" s="1056"/>
      <c r="O36" s="1056"/>
      <c r="P36" s="1485"/>
      <c r="Q36" s="1056">
        <v>45</v>
      </c>
      <c r="R36" s="1056"/>
      <c r="S36" s="1056"/>
      <c r="T36" s="1056"/>
      <c r="U36" s="798"/>
      <c r="V36" s="1056">
        <v>45</v>
      </c>
      <c r="W36" s="1056"/>
      <c r="X36" s="1056"/>
      <c r="Y36" s="1056"/>
      <c r="Z36" s="1056"/>
    </row>
    <row r="37" spans="1:26" hidden="1" x14ac:dyDescent="0.2">
      <c r="A37" s="1682">
        <v>37</v>
      </c>
      <c r="B37" s="81" t="s">
        <v>1009</v>
      </c>
      <c r="C37" s="738"/>
      <c r="D37" s="739"/>
      <c r="E37" s="740"/>
      <c r="F37" s="798"/>
      <c r="G37" s="739">
        <v>45</v>
      </c>
      <c r="H37" s="739"/>
      <c r="I37" s="739"/>
      <c r="J37" s="739">
        <v>15</v>
      </c>
      <c r="K37" s="798"/>
      <c r="L37" s="1056">
        <v>45</v>
      </c>
      <c r="M37" s="1056"/>
      <c r="N37" s="1056"/>
      <c r="O37" s="1056"/>
      <c r="P37" s="1485"/>
      <c r="Q37" s="1056">
        <v>45</v>
      </c>
      <c r="R37" s="1056"/>
      <c r="S37" s="1056"/>
      <c r="T37" s="1056"/>
      <c r="U37" s="798"/>
      <c r="V37" s="1056">
        <v>45</v>
      </c>
      <c r="W37" s="1056"/>
      <c r="X37" s="1056"/>
      <c r="Y37" s="1056"/>
      <c r="Z37" s="1056"/>
    </row>
    <row r="38" spans="1:26" hidden="1" x14ac:dyDescent="0.2">
      <c r="A38" s="2127">
        <v>38</v>
      </c>
      <c r="B38" s="1193" t="s">
        <v>85</v>
      </c>
      <c r="C38" s="796" t="s">
        <v>920</v>
      </c>
      <c r="D38" s="739"/>
      <c r="E38" s="740"/>
      <c r="F38" s="738"/>
      <c r="G38" s="795"/>
      <c r="H38" s="795"/>
      <c r="I38" s="739"/>
      <c r="J38" s="739"/>
      <c r="K38" s="738"/>
      <c r="L38" s="880"/>
      <c r="M38" s="880"/>
      <c r="N38" s="1056"/>
      <c r="O38" s="1056"/>
      <c r="P38" s="1485"/>
      <c r="Q38" s="880"/>
      <c r="R38" s="880"/>
      <c r="S38" s="1056"/>
      <c r="T38" s="1056"/>
      <c r="U38" s="738"/>
      <c r="V38" s="880"/>
      <c r="W38" s="880"/>
      <c r="X38" s="1056"/>
      <c r="Y38" s="1056"/>
      <c r="Z38" s="1056"/>
    </row>
    <row r="39" spans="1:26" hidden="1" x14ac:dyDescent="0.2">
      <c r="A39" s="274">
        <v>39</v>
      </c>
      <c r="B39" s="1459" t="s">
        <v>915</v>
      </c>
      <c r="C39" s="1460">
        <v>35</v>
      </c>
      <c r="D39" s="739"/>
      <c r="E39" s="740">
        <v>15</v>
      </c>
      <c r="F39" s="798" t="s">
        <v>637</v>
      </c>
      <c r="G39" s="739"/>
      <c r="H39" s="739"/>
      <c r="I39" s="739"/>
      <c r="J39" s="739"/>
      <c r="K39" s="798" t="s">
        <v>637</v>
      </c>
      <c r="L39" s="1056"/>
      <c r="M39" s="1056"/>
      <c r="N39" s="1056"/>
      <c r="O39" s="1056"/>
      <c r="P39" s="1485"/>
      <c r="Q39" s="1056"/>
      <c r="R39" s="1056"/>
      <c r="S39" s="1056"/>
      <c r="T39" s="1056"/>
      <c r="U39" s="798" t="s">
        <v>637</v>
      </c>
      <c r="V39" s="1056"/>
      <c r="W39" s="1056"/>
      <c r="X39" s="1056"/>
      <c r="Y39" s="1056"/>
      <c r="Z39" s="1056"/>
    </row>
    <row r="40" spans="1:26" hidden="1" x14ac:dyDescent="0.2">
      <c r="A40" s="1682">
        <v>40</v>
      </c>
      <c r="B40" s="1461" t="s">
        <v>907</v>
      </c>
      <c r="C40" s="1460">
        <v>35</v>
      </c>
      <c r="D40" s="746"/>
      <c r="E40" s="740"/>
      <c r="F40" s="798" t="s">
        <v>637</v>
      </c>
      <c r="G40" s="739">
        <v>45</v>
      </c>
      <c r="H40" s="739"/>
      <c r="I40" s="746"/>
      <c r="J40" s="739"/>
      <c r="K40" s="798" t="s">
        <v>637</v>
      </c>
      <c r="L40" s="1056">
        <v>45</v>
      </c>
      <c r="M40" s="1056"/>
      <c r="N40" s="880"/>
      <c r="O40" s="1056"/>
      <c r="P40" s="1485"/>
      <c r="Q40" s="1056">
        <v>45</v>
      </c>
      <c r="R40" s="1056"/>
      <c r="S40" s="880"/>
      <c r="T40" s="1056"/>
      <c r="U40" s="798" t="s">
        <v>637</v>
      </c>
      <c r="V40" s="1056">
        <v>45</v>
      </c>
      <c r="W40" s="1056"/>
      <c r="X40" s="880"/>
      <c r="Y40" s="880"/>
      <c r="Z40" s="1056"/>
    </row>
    <row r="41" spans="1:26" hidden="1" x14ac:dyDescent="0.2">
      <c r="A41" s="2127">
        <v>41</v>
      </c>
      <c r="B41" s="1192" t="s">
        <v>86</v>
      </c>
      <c r="C41" s="738">
        <v>45</v>
      </c>
      <c r="D41" s="739"/>
      <c r="E41" s="740"/>
      <c r="F41" s="798" t="s">
        <v>637</v>
      </c>
      <c r="G41" s="739">
        <v>45</v>
      </c>
      <c r="H41" s="739"/>
      <c r="I41" s="739"/>
      <c r="J41" s="739"/>
      <c r="K41" s="798" t="s">
        <v>637</v>
      </c>
      <c r="L41" s="1056">
        <v>45</v>
      </c>
      <c r="M41" s="1056"/>
      <c r="N41" s="1056"/>
      <c r="O41" s="1056"/>
      <c r="P41" s="1485"/>
      <c r="Q41" s="1056">
        <v>45</v>
      </c>
      <c r="R41" s="1056"/>
      <c r="S41" s="1056"/>
      <c r="T41" s="1056"/>
      <c r="U41" s="798" t="s">
        <v>637</v>
      </c>
      <c r="V41" s="1056">
        <v>45</v>
      </c>
      <c r="W41" s="1056"/>
      <c r="X41" s="1056"/>
      <c r="Y41" s="1056"/>
      <c r="Z41" s="1056"/>
    </row>
    <row r="42" spans="1:26" hidden="1" x14ac:dyDescent="0.2">
      <c r="A42" s="274">
        <v>42</v>
      </c>
      <c r="B42" s="1193" t="s">
        <v>87</v>
      </c>
      <c r="C42" s="738"/>
      <c r="D42" s="739">
        <v>5</v>
      </c>
      <c r="E42" s="740"/>
      <c r="F42" s="796" t="s">
        <v>636</v>
      </c>
      <c r="G42" s="739"/>
      <c r="H42" s="739"/>
      <c r="I42" s="739">
        <v>5</v>
      </c>
      <c r="J42" s="739"/>
      <c r="K42" s="796" t="s">
        <v>636</v>
      </c>
      <c r="L42" s="1056"/>
      <c r="M42" s="1056"/>
      <c r="N42" s="1056">
        <v>5</v>
      </c>
      <c r="O42" s="1056"/>
      <c r="P42" s="1485"/>
      <c r="Q42" s="1056"/>
      <c r="R42" s="1056"/>
      <c r="S42" s="1056">
        <v>5</v>
      </c>
      <c r="T42" s="1056"/>
      <c r="U42" s="796" t="s">
        <v>636</v>
      </c>
      <c r="V42" s="1056"/>
      <c r="W42" s="1056"/>
      <c r="X42" s="1056">
        <v>5</v>
      </c>
      <c r="Y42" s="1056"/>
      <c r="Z42" s="1056"/>
    </row>
    <row r="43" spans="1:26" hidden="1" x14ac:dyDescent="0.2">
      <c r="A43" s="1682">
        <v>43</v>
      </c>
      <c r="B43" s="1192" t="s">
        <v>88</v>
      </c>
      <c r="C43" s="738"/>
      <c r="D43" s="739">
        <v>5</v>
      </c>
      <c r="E43" s="740"/>
      <c r="F43" s="796" t="s">
        <v>636</v>
      </c>
      <c r="G43" s="739"/>
      <c r="H43" s="739"/>
      <c r="I43" s="739">
        <v>5</v>
      </c>
      <c r="J43" s="739"/>
      <c r="K43" s="796" t="s">
        <v>636</v>
      </c>
      <c r="L43" s="1056"/>
      <c r="M43" s="1056"/>
      <c r="N43" s="1056">
        <v>5</v>
      </c>
      <c r="O43" s="1056"/>
      <c r="P43" s="1485"/>
      <c r="Q43" s="1056"/>
      <c r="R43" s="1056"/>
      <c r="S43" s="1056">
        <v>5</v>
      </c>
      <c r="T43" s="1056"/>
      <c r="U43" s="796" t="s">
        <v>636</v>
      </c>
      <c r="V43" s="1056"/>
      <c r="W43" s="1056"/>
      <c r="X43" s="1056">
        <v>5</v>
      </c>
      <c r="Y43" s="1056"/>
      <c r="Z43" s="1056"/>
    </row>
    <row r="44" spans="1:26" hidden="1" x14ac:dyDescent="0.2">
      <c r="A44" s="2127">
        <v>44</v>
      </c>
      <c r="B44" s="1191" t="s">
        <v>89</v>
      </c>
      <c r="C44" s="738"/>
      <c r="D44" s="739">
        <v>5</v>
      </c>
      <c r="E44" s="740"/>
      <c r="F44" s="796" t="s">
        <v>636</v>
      </c>
      <c r="G44" s="739"/>
      <c r="H44" s="739"/>
      <c r="I44" s="739">
        <v>5</v>
      </c>
      <c r="J44" s="739"/>
      <c r="K44" s="796" t="s">
        <v>636</v>
      </c>
      <c r="L44" s="1056"/>
      <c r="M44" s="1056"/>
      <c r="N44" s="1056">
        <v>5</v>
      </c>
      <c r="O44" s="1056"/>
      <c r="P44" s="1485"/>
      <c r="Q44" s="1056"/>
      <c r="R44" s="1056"/>
      <c r="S44" s="1056">
        <v>5</v>
      </c>
      <c r="T44" s="1056"/>
      <c r="U44" s="796" t="s">
        <v>636</v>
      </c>
      <c r="V44" s="1056"/>
      <c r="W44" s="1056"/>
      <c r="X44" s="1056">
        <v>5</v>
      </c>
      <c r="Y44" s="1056"/>
      <c r="Z44" s="1056"/>
    </row>
    <row r="45" spans="1:26" hidden="1" x14ac:dyDescent="0.2">
      <c r="A45" s="274">
        <v>45</v>
      </c>
      <c r="B45" s="1191" t="s">
        <v>90</v>
      </c>
      <c r="C45" s="738"/>
      <c r="D45" s="739">
        <v>5</v>
      </c>
      <c r="E45" s="740"/>
      <c r="F45" s="796" t="s">
        <v>636</v>
      </c>
      <c r="G45" s="739"/>
      <c r="H45" s="739"/>
      <c r="I45" s="739"/>
      <c r="J45" s="739"/>
      <c r="K45" s="796" t="s">
        <v>636</v>
      </c>
      <c r="L45" s="1056"/>
      <c r="M45" s="1056"/>
      <c r="N45" s="1056"/>
      <c r="O45" s="1056"/>
      <c r="P45" s="1485"/>
      <c r="Q45" s="1056"/>
      <c r="R45" s="1056"/>
      <c r="S45" s="1056"/>
      <c r="T45" s="1056"/>
      <c r="U45" s="796" t="s">
        <v>636</v>
      </c>
      <c r="V45" s="1056"/>
      <c r="W45" s="1056"/>
      <c r="X45" s="1056"/>
      <c r="Y45" s="1056"/>
      <c r="Z45" s="1056"/>
    </row>
    <row r="46" spans="1:26" hidden="1" x14ac:dyDescent="0.2">
      <c r="A46" s="1682">
        <v>46</v>
      </c>
      <c r="B46" s="1461" t="s">
        <v>908</v>
      </c>
      <c r="C46" s="1460">
        <v>45</v>
      </c>
      <c r="D46" s="746"/>
      <c r="E46" s="740">
        <v>15</v>
      </c>
      <c r="F46" s="798" t="s">
        <v>637</v>
      </c>
      <c r="G46" s="739">
        <v>45</v>
      </c>
      <c r="H46" s="739"/>
      <c r="I46" s="746"/>
      <c r="J46" s="739"/>
      <c r="K46" s="798" t="s">
        <v>637</v>
      </c>
      <c r="L46" s="1056">
        <v>45</v>
      </c>
      <c r="M46" s="1056"/>
      <c r="N46" s="880"/>
      <c r="O46" s="1056"/>
      <c r="P46" s="1485"/>
      <c r="Q46" s="1056">
        <v>45</v>
      </c>
      <c r="R46" s="1056"/>
      <c r="S46" s="880"/>
      <c r="T46" s="1056"/>
      <c r="U46" s="798" t="s">
        <v>637</v>
      </c>
      <c r="V46" s="1056">
        <v>45</v>
      </c>
      <c r="W46" s="1056"/>
      <c r="X46" s="880"/>
      <c r="Y46" s="880"/>
      <c r="Z46" s="1056"/>
    </row>
    <row r="47" spans="1:26" hidden="1" x14ac:dyDescent="0.2">
      <c r="A47" s="2127">
        <v>47</v>
      </c>
      <c r="B47" s="1192" t="s">
        <v>537</v>
      </c>
      <c r="C47" s="738">
        <v>45</v>
      </c>
      <c r="D47" s="739"/>
      <c r="E47" s="740"/>
      <c r="F47" s="798" t="s">
        <v>637</v>
      </c>
      <c r="G47" s="975">
        <v>45</v>
      </c>
      <c r="H47" s="739"/>
      <c r="I47" s="739"/>
      <c r="J47" s="739"/>
      <c r="K47" s="798" t="s">
        <v>637</v>
      </c>
      <c r="L47" s="1056">
        <v>45</v>
      </c>
      <c r="M47" s="1056"/>
      <c r="N47" s="1056"/>
      <c r="O47" s="1056"/>
      <c r="P47" s="1485"/>
      <c r="Q47" s="1056">
        <v>45</v>
      </c>
      <c r="R47" s="1056"/>
      <c r="S47" s="1056"/>
      <c r="T47" s="1056"/>
      <c r="U47" s="798" t="s">
        <v>637</v>
      </c>
      <c r="V47" s="1056">
        <v>45</v>
      </c>
      <c r="W47" s="1056"/>
      <c r="X47" s="1056"/>
      <c r="Y47" s="1056"/>
      <c r="Z47" s="1056"/>
    </row>
    <row r="48" spans="1:26" hidden="1" x14ac:dyDescent="0.2">
      <c r="A48" s="274">
        <v>48</v>
      </c>
      <c r="B48" s="1192" t="s">
        <v>91</v>
      </c>
      <c r="C48" s="738">
        <v>45</v>
      </c>
      <c r="D48" s="739"/>
      <c r="E48" s="740"/>
      <c r="F48" s="798" t="s">
        <v>637</v>
      </c>
      <c r="G48" s="739">
        <v>45</v>
      </c>
      <c r="H48" s="739"/>
      <c r="I48" s="739"/>
      <c r="J48" s="739"/>
      <c r="K48" s="798" t="s">
        <v>637</v>
      </c>
      <c r="L48" s="1056">
        <v>45</v>
      </c>
      <c r="M48" s="1056"/>
      <c r="N48" s="1056"/>
      <c r="O48" s="1056"/>
      <c r="P48" s="1485"/>
      <c r="Q48" s="1056">
        <v>45</v>
      </c>
      <c r="R48" s="1056"/>
      <c r="S48" s="1056"/>
      <c r="T48" s="1056"/>
      <c r="U48" s="798" t="s">
        <v>637</v>
      </c>
      <c r="V48" s="1056">
        <v>45</v>
      </c>
      <c r="W48" s="1056"/>
      <c r="X48" s="1056"/>
      <c r="Y48" s="1056"/>
      <c r="Z48" s="1056"/>
    </row>
    <row r="49" spans="1:26" hidden="1" x14ac:dyDescent="0.2">
      <c r="A49" s="1682">
        <v>49</v>
      </c>
      <c r="B49" s="1193" t="s">
        <v>93</v>
      </c>
      <c r="C49" s="738"/>
      <c r="D49" s="739">
        <v>5</v>
      </c>
      <c r="E49" s="740"/>
      <c r="F49" s="796" t="s">
        <v>636</v>
      </c>
      <c r="G49" s="739"/>
      <c r="H49" s="739"/>
      <c r="I49" s="739">
        <v>5</v>
      </c>
      <c r="J49" s="739"/>
      <c r="K49" s="796" t="s">
        <v>636</v>
      </c>
      <c r="L49" s="1056"/>
      <c r="M49" s="1056"/>
      <c r="N49" s="1056">
        <v>5</v>
      </c>
      <c r="O49" s="1056"/>
      <c r="P49" s="1485"/>
      <c r="Q49" s="1056"/>
      <c r="R49" s="1056"/>
      <c r="S49" s="1056">
        <v>5</v>
      </c>
      <c r="T49" s="1056"/>
      <c r="U49" s="796" t="s">
        <v>636</v>
      </c>
      <c r="V49" s="1056"/>
      <c r="W49" s="1056"/>
      <c r="X49" s="1056">
        <v>5</v>
      </c>
      <c r="Y49" s="1056"/>
      <c r="Z49" s="1056"/>
    </row>
    <row r="50" spans="1:26" hidden="1" x14ac:dyDescent="0.2">
      <c r="A50" s="2127">
        <v>50</v>
      </c>
      <c r="B50" s="81" t="s">
        <v>1010</v>
      </c>
      <c r="C50" s="738"/>
      <c r="D50" s="739"/>
      <c r="E50" s="740"/>
      <c r="F50" s="796"/>
      <c r="G50" s="739">
        <v>45</v>
      </c>
      <c r="H50" s="739"/>
      <c r="I50" s="739"/>
      <c r="J50" s="739">
        <v>15</v>
      </c>
      <c r="K50" s="796"/>
      <c r="L50" s="1056">
        <v>45</v>
      </c>
      <c r="M50" s="1056"/>
      <c r="N50" s="1056"/>
      <c r="O50" s="1056"/>
      <c r="P50" s="1485"/>
      <c r="Q50" s="1056">
        <v>45</v>
      </c>
      <c r="R50" s="1056"/>
      <c r="S50" s="1056"/>
      <c r="T50" s="1056"/>
      <c r="U50" s="796"/>
      <c r="V50" s="1056">
        <v>45</v>
      </c>
      <c r="W50" s="1056"/>
      <c r="X50" s="1056"/>
      <c r="Y50" s="1056"/>
      <c r="Z50" s="1056"/>
    </row>
    <row r="51" spans="1:26" hidden="1" x14ac:dyDescent="0.2">
      <c r="A51" s="274">
        <v>51</v>
      </c>
      <c r="B51" s="1191" t="s">
        <v>94</v>
      </c>
      <c r="C51" s="738">
        <v>45</v>
      </c>
      <c r="D51" s="739"/>
      <c r="E51" s="740"/>
      <c r="F51" s="798" t="s">
        <v>637</v>
      </c>
      <c r="G51" s="739">
        <v>45</v>
      </c>
      <c r="H51" s="739"/>
      <c r="I51" s="739"/>
      <c r="J51" s="739"/>
      <c r="K51" s="798" t="s">
        <v>637</v>
      </c>
      <c r="L51" s="1056">
        <v>45</v>
      </c>
      <c r="M51" s="1056"/>
      <c r="N51" s="1056"/>
      <c r="O51" s="1056"/>
      <c r="P51" s="1485"/>
      <c r="Q51" s="1056">
        <v>45</v>
      </c>
      <c r="R51" s="1056"/>
      <c r="S51" s="1056"/>
      <c r="T51" s="1056"/>
      <c r="U51" s="798" t="s">
        <v>637</v>
      </c>
      <c r="V51" s="1056">
        <v>45</v>
      </c>
      <c r="W51" s="1056"/>
      <c r="X51" s="1056"/>
      <c r="Y51" s="1056"/>
      <c r="Z51" s="1056"/>
    </row>
    <row r="52" spans="1:26" hidden="1" x14ac:dyDescent="0.2">
      <c r="A52" s="1682">
        <v>52</v>
      </c>
      <c r="B52" s="1461" t="s">
        <v>909</v>
      </c>
      <c r="C52" s="1460">
        <v>45</v>
      </c>
      <c r="D52" s="746"/>
      <c r="E52" s="740">
        <v>15</v>
      </c>
      <c r="F52" s="798" t="s">
        <v>637</v>
      </c>
      <c r="G52" s="739">
        <v>45</v>
      </c>
      <c r="H52" s="739"/>
      <c r="I52" s="746"/>
      <c r="J52" s="739"/>
      <c r="K52" s="798" t="s">
        <v>637</v>
      </c>
      <c r="L52" s="1056">
        <v>45</v>
      </c>
      <c r="M52" s="1056"/>
      <c r="N52" s="880"/>
      <c r="O52" s="1056"/>
      <c r="P52" s="1485"/>
      <c r="Q52" s="1056">
        <v>45</v>
      </c>
      <c r="R52" s="1056"/>
      <c r="S52" s="880"/>
      <c r="T52" s="1056"/>
      <c r="U52" s="798" t="s">
        <v>637</v>
      </c>
      <c r="V52" s="1056">
        <v>45</v>
      </c>
      <c r="W52" s="1056"/>
      <c r="X52" s="880"/>
      <c r="Y52" s="880"/>
      <c r="Z52" s="1056"/>
    </row>
    <row r="53" spans="1:26" hidden="1" x14ac:dyDescent="0.2">
      <c r="A53" s="2127">
        <v>53</v>
      </c>
      <c r="B53" s="1190" t="s">
        <v>95</v>
      </c>
      <c r="C53" s="738">
        <v>45</v>
      </c>
      <c r="D53" s="739"/>
      <c r="E53" s="740"/>
      <c r="F53" s="798" t="s">
        <v>637</v>
      </c>
      <c r="G53" s="739"/>
      <c r="H53" s="739"/>
      <c r="I53" s="739"/>
      <c r="J53" s="739"/>
      <c r="K53" s="798" t="s">
        <v>637</v>
      </c>
      <c r="L53" s="1056"/>
      <c r="M53" s="1056"/>
      <c r="N53" s="1056"/>
      <c r="O53" s="1056"/>
      <c r="P53" s="1485"/>
      <c r="Q53" s="1056"/>
      <c r="R53" s="1056"/>
      <c r="S53" s="1056"/>
      <c r="T53" s="1056"/>
      <c r="U53" s="798" t="s">
        <v>637</v>
      </c>
      <c r="V53" s="1056"/>
      <c r="W53" s="1056"/>
      <c r="X53" s="1056"/>
      <c r="Y53" s="1056"/>
      <c r="Z53" s="1056"/>
    </row>
    <row r="54" spans="1:26" hidden="1" x14ac:dyDescent="0.2">
      <c r="A54" s="274">
        <v>54</v>
      </c>
      <c r="B54" s="1190" t="s">
        <v>96</v>
      </c>
      <c r="C54" s="738">
        <v>45</v>
      </c>
      <c r="D54" s="739"/>
      <c r="E54" s="740"/>
      <c r="F54" s="798" t="s">
        <v>637</v>
      </c>
      <c r="G54" s="739">
        <v>45</v>
      </c>
      <c r="H54" s="739"/>
      <c r="I54" s="739"/>
      <c r="J54" s="739"/>
      <c r="K54" s="798" t="s">
        <v>637</v>
      </c>
      <c r="L54" s="1056">
        <v>45</v>
      </c>
      <c r="M54" s="1056"/>
      <c r="N54" s="1056"/>
      <c r="O54" s="1056"/>
      <c r="P54" s="1485"/>
      <c r="Q54" s="1056">
        <v>45</v>
      </c>
      <c r="R54" s="1056"/>
      <c r="S54" s="1056"/>
      <c r="T54" s="1056"/>
      <c r="U54" s="798" t="s">
        <v>637</v>
      </c>
      <c r="V54" s="1056">
        <v>45</v>
      </c>
      <c r="W54" s="1056"/>
      <c r="X54" s="1056"/>
      <c r="Y54" s="1056"/>
      <c r="Z54" s="1056"/>
    </row>
    <row r="55" spans="1:26" hidden="1" x14ac:dyDescent="0.2">
      <c r="A55" s="1682">
        <v>55</v>
      </c>
      <c r="B55" s="1191" t="s">
        <v>97</v>
      </c>
      <c r="C55" s="738">
        <v>45</v>
      </c>
      <c r="D55" s="739"/>
      <c r="E55" s="740"/>
      <c r="F55" s="798" t="s">
        <v>637</v>
      </c>
      <c r="G55" s="739">
        <v>45</v>
      </c>
      <c r="H55" s="739"/>
      <c r="I55" s="739"/>
      <c r="J55" s="739"/>
      <c r="K55" s="798" t="s">
        <v>637</v>
      </c>
      <c r="L55" s="1056">
        <v>45</v>
      </c>
      <c r="M55" s="1056"/>
      <c r="N55" s="1056"/>
      <c r="O55" s="1056"/>
      <c r="P55" s="1485"/>
      <c r="Q55" s="1056">
        <v>45</v>
      </c>
      <c r="R55" s="1056"/>
      <c r="S55" s="1056"/>
      <c r="T55" s="1056"/>
      <c r="U55" s="798" t="s">
        <v>637</v>
      </c>
      <c r="V55" s="1056">
        <v>45</v>
      </c>
      <c r="W55" s="1056"/>
      <c r="X55" s="1056"/>
      <c r="Y55" s="1056"/>
      <c r="Z55" s="1056"/>
    </row>
    <row r="56" spans="1:26" hidden="1" x14ac:dyDescent="0.2">
      <c r="A56" s="2127">
        <v>56</v>
      </c>
      <c r="B56" s="1190" t="s">
        <v>98</v>
      </c>
      <c r="C56" s="738">
        <v>45</v>
      </c>
      <c r="D56" s="739"/>
      <c r="E56" s="740"/>
      <c r="F56" s="798" t="s">
        <v>637</v>
      </c>
      <c r="G56" s="739">
        <v>45</v>
      </c>
      <c r="H56" s="739"/>
      <c r="I56" s="739"/>
      <c r="J56" s="739"/>
      <c r="K56" s="798" t="s">
        <v>637</v>
      </c>
      <c r="L56" s="1056">
        <v>45</v>
      </c>
      <c r="M56" s="1056"/>
      <c r="N56" s="1056"/>
      <c r="O56" s="1056"/>
      <c r="P56" s="1485"/>
      <c r="Q56" s="1056">
        <v>45</v>
      </c>
      <c r="R56" s="1056"/>
      <c r="S56" s="1056"/>
      <c r="T56" s="1056"/>
      <c r="U56" s="798" t="s">
        <v>637</v>
      </c>
      <c r="V56" s="1056">
        <v>45</v>
      </c>
      <c r="W56" s="1056"/>
      <c r="X56" s="1056"/>
      <c r="Y56" s="1056"/>
      <c r="Z56" s="1056"/>
    </row>
    <row r="57" spans="1:26" hidden="1" x14ac:dyDescent="0.2">
      <c r="A57" s="274">
        <v>57</v>
      </c>
      <c r="B57" s="1194" t="s">
        <v>99</v>
      </c>
      <c r="C57" s="738">
        <v>45</v>
      </c>
      <c r="D57" s="739"/>
      <c r="E57" s="740"/>
      <c r="F57" s="798" t="s">
        <v>637</v>
      </c>
      <c r="G57" s="975"/>
      <c r="H57" s="739"/>
      <c r="I57" s="739"/>
      <c r="J57" s="739"/>
      <c r="K57" s="798" t="s">
        <v>637</v>
      </c>
      <c r="L57" s="1056"/>
      <c r="M57" s="1056"/>
      <c r="N57" s="1056"/>
      <c r="O57" s="1056"/>
      <c r="P57" s="1485"/>
      <c r="Q57" s="1056"/>
      <c r="R57" s="1056"/>
      <c r="S57" s="1056"/>
      <c r="T57" s="1056"/>
      <c r="U57" s="798" t="s">
        <v>637</v>
      </c>
      <c r="V57" s="1056"/>
      <c r="W57" s="1056"/>
      <c r="X57" s="1056"/>
      <c r="Y57" s="1056"/>
      <c r="Z57" s="1056"/>
    </row>
    <row r="58" spans="1:26" hidden="1" x14ac:dyDescent="0.2">
      <c r="A58" s="1682">
        <v>58</v>
      </c>
      <c r="B58" s="1192" t="s">
        <v>100</v>
      </c>
      <c r="C58" s="738">
        <v>45</v>
      </c>
      <c r="D58" s="739"/>
      <c r="E58" s="740"/>
      <c r="F58" s="798" t="s">
        <v>637</v>
      </c>
      <c r="G58" s="739">
        <v>45</v>
      </c>
      <c r="H58" s="739"/>
      <c r="I58" s="739"/>
      <c r="J58" s="739"/>
      <c r="K58" s="798" t="s">
        <v>637</v>
      </c>
      <c r="L58" s="1056">
        <v>45</v>
      </c>
      <c r="M58" s="1056"/>
      <c r="N58" s="1056"/>
      <c r="O58" s="1056"/>
      <c r="P58" s="1485"/>
      <c r="Q58" s="1056">
        <v>45</v>
      </c>
      <c r="R58" s="1056"/>
      <c r="S58" s="1056"/>
      <c r="T58" s="1056"/>
      <c r="U58" s="798" t="s">
        <v>637</v>
      </c>
      <c r="V58" s="1056">
        <v>45</v>
      </c>
      <c r="W58" s="1056"/>
      <c r="X58" s="1056"/>
      <c r="Y58" s="1056"/>
      <c r="Z58" s="1056"/>
    </row>
    <row r="59" spans="1:26" hidden="1" x14ac:dyDescent="0.2">
      <c r="A59" s="2127">
        <v>59</v>
      </c>
      <c r="B59" s="1193" t="s">
        <v>101</v>
      </c>
      <c r="C59" s="738">
        <v>45</v>
      </c>
      <c r="D59" s="739"/>
      <c r="E59" s="740"/>
      <c r="F59" s="798" t="s">
        <v>637</v>
      </c>
      <c r="G59" s="739">
        <v>45</v>
      </c>
      <c r="H59" s="739"/>
      <c r="I59" s="739"/>
      <c r="J59" s="739"/>
      <c r="K59" s="798" t="s">
        <v>637</v>
      </c>
      <c r="L59" s="1056">
        <v>45</v>
      </c>
      <c r="M59" s="1056"/>
      <c r="N59" s="1056"/>
      <c r="O59" s="1056"/>
      <c r="P59" s="1485"/>
      <c r="Q59" s="1056">
        <v>45</v>
      </c>
      <c r="R59" s="1056"/>
      <c r="S59" s="1056"/>
      <c r="T59" s="1056"/>
      <c r="U59" s="798" t="s">
        <v>637</v>
      </c>
      <c r="V59" s="1056">
        <v>45</v>
      </c>
      <c r="W59" s="1056"/>
      <c r="X59" s="1056"/>
      <c r="Y59" s="1056"/>
      <c r="Z59" s="1056"/>
    </row>
    <row r="60" spans="1:26" hidden="1" x14ac:dyDescent="0.2">
      <c r="A60" s="274">
        <v>60</v>
      </c>
      <c r="B60" s="1193" t="s">
        <v>102</v>
      </c>
      <c r="C60" s="738">
        <v>45</v>
      </c>
      <c r="D60" s="739"/>
      <c r="E60" s="740"/>
      <c r="F60" s="798" t="s">
        <v>637</v>
      </c>
      <c r="G60" s="739">
        <v>45</v>
      </c>
      <c r="H60" s="739"/>
      <c r="I60" s="739"/>
      <c r="J60" s="739"/>
      <c r="K60" s="798" t="s">
        <v>637</v>
      </c>
      <c r="L60" s="1056">
        <v>45</v>
      </c>
      <c r="M60" s="1056"/>
      <c r="N60" s="1056"/>
      <c r="O60" s="1056"/>
      <c r="P60" s="1485"/>
      <c r="Q60" s="1056">
        <v>45</v>
      </c>
      <c r="R60" s="1056"/>
      <c r="S60" s="1056"/>
      <c r="T60" s="1056"/>
      <c r="U60" s="798" t="s">
        <v>637</v>
      </c>
      <c r="V60" s="1056">
        <v>45</v>
      </c>
      <c r="W60" s="1056"/>
      <c r="X60" s="1056"/>
      <c r="Y60" s="1056"/>
      <c r="Z60" s="1056"/>
    </row>
    <row r="61" spans="1:26" hidden="1" x14ac:dyDescent="0.2">
      <c r="A61" s="1682">
        <v>61</v>
      </c>
      <c r="B61" s="1192" t="s">
        <v>103</v>
      </c>
      <c r="C61" s="738">
        <v>45</v>
      </c>
      <c r="D61" s="739"/>
      <c r="E61" s="740"/>
      <c r="F61" s="798" t="s">
        <v>637</v>
      </c>
      <c r="G61" s="739">
        <v>45</v>
      </c>
      <c r="H61" s="739"/>
      <c r="I61" s="739"/>
      <c r="J61" s="739"/>
      <c r="K61" s="798" t="s">
        <v>637</v>
      </c>
      <c r="L61" s="1056">
        <v>45</v>
      </c>
      <c r="M61" s="1056"/>
      <c r="N61" s="1056"/>
      <c r="O61" s="1056"/>
      <c r="P61" s="1485"/>
      <c r="Q61" s="1056">
        <v>45</v>
      </c>
      <c r="R61" s="1056"/>
      <c r="S61" s="1056"/>
      <c r="T61" s="1056"/>
      <c r="U61" s="798" t="s">
        <v>637</v>
      </c>
      <c r="V61" s="1056">
        <v>45</v>
      </c>
      <c r="W61" s="1056"/>
      <c r="X61" s="1056"/>
      <c r="Y61" s="1056"/>
      <c r="Z61" s="1056"/>
    </row>
    <row r="62" spans="1:26" hidden="1" x14ac:dyDescent="0.2">
      <c r="A62" s="2127">
        <v>62</v>
      </c>
      <c r="B62" s="1192" t="s">
        <v>104</v>
      </c>
      <c r="C62" s="738">
        <v>45</v>
      </c>
      <c r="D62" s="739"/>
      <c r="E62" s="740"/>
      <c r="F62" s="798" t="s">
        <v>637</v>
      </c>
      <c r="G62" s="739">
        <v>45</v>
      </c>
      <c r="H62" s="739"/>
      <c r="I62" s="739"/>
      <c r="J62" s="739"/>
      <c r="K62" s="798" t="s">
        <v>637</v>
      </c>
      <c r="L62" s="1056">
        <v>45</v>
      </c>
      <c r="M62" s="1056"/>
      <c r="N62" s="1056"/>
      <c r="O62" s="1056"/>
      <c r="P62" s="1485"/>
      <c r="Q62" s="1056">
        <v>45</v>
      </c>
      <c r="R62" s="1056"/>
      <c r="S62" s="1056"/>
      <c r="T62" s="1056"/>
      <c r="U62" s="798" t="s">
        <v>637</v>
      </c>
      <c r="V62" s="1056">
        <v>45</v>
      </c>
      <c r="W62" s="1056"/>
      <c r="X62" s="1056"/>
      <c r="Y62" s="1056"/>
      <c r="Z62" s="1056"/>
    </row>
    <row r="63" spans="1:26" ht="16" hidden="1" x14ac:dyDescent="0.2">
      <c r="A63" s="274">
        <v>63</v>
      </c>
      <c r="B63" s="1462" t="s">
        <v>855</v>
      </c>
      <c r="C63" s="738"/>
      <c r="D63" s="739">
        <v>5</v>
      </c>
      <c r="E63" s="740"/>
      <c r="F63" s="796" t="s">
        <v>636</v>
      </c>
      <c r="G63" s="739"/>
      <c r="H63" s="739"/>
      <c r="I63" s="739"/>
      <c r="J63" s="739"/>
      <c r="K63" s="796" t="s">
        <v>636</v>
      </c>
      <c r="L63" s="1056"/>
      <c r="M63" s="1056"/>
      <c r="N63" s="1056"/>
      <c r="O63" s="1056"/>
      <c r="P63" s="1485"/>
      <c r="Q63" s="1056"/>
      <c r="R63" s="1056"/>
      <c r="S63" s="1056"/>
      <c r="T63" s="1056"/>
      <c r="U63" s="796" t="s">
        <v>636</v>
      </c>
      <c r="V63" s="1056"/>
      <c r="W63" s="1056"/>
      <c r="X63" s="1056"/>
      <c r="Y63" s="1056"/>
      <c r="Z63" s="1056"/>
    </row>
    <row r="64" spans="1:26" hidden="1" x14ac:dyDescent="0.2">
      <c r="A64" s="1682">
        <v>64</v>
      </c>
      <c r="B64" s="1190" t="s">
        <v>105</v>
      </c>
      <c r="C64" s="738"/>
      <c r="D64" s="739">
        <v>5</v>
      </c>
      <c r="E64" s="740"/>
      <c r="F64" s="796" t="s">
        <v>636</v>
      </c>
      <c r="G64" s="739"/>
      <c r="H64" s="739"/>
      <c r="I64" s="739">
        <v>5</v>
      </c>
      <c r="J64" s="739"/>
      <c r="K64" s="796" t="s">
        <v>636</v>
      </c>
      <c r="L64" s="1056"/>
      <c r="M64" s="1056"/>
      <c r="N64" s="1056">
        <v>5</v>
      </c>
      <c r="O64" s="1056"/>
      <c r="P64" s="1485"/>
      <c r="Q64" s="1056"/>
      <c r="R64" s="1056"/>
      <c r="S64" s="1056">
        <v>5</v>
      </c>
      <c r="T64" s="1056"/>
      <c r="U64" s="796" t="s">
        <v>636</v>
      </c>
      <c r="V64" s="1056"/>
      <c r="W64" s="1056"/>
      <c r="X64" s="1056">
        <v>5</v>
      </c>
      <c r="Y64" s="1056"/>
      <c r="Z64" s="1056"/>
    </row>
    <row r="65" spans="1:26" hidden="1" x14ac:dyDescent="0.2">
      <c r="A65" s="2127">
        <v>65</v>
      </c>
      <c r="B65" s="1191" t="s">
        <v>106</v>
      </c>
      <c r="C65" s="738">
        <v>45</v>
      </c>
      <c r="D65" s="739"/>
      <c r="E65" s="740"/>
      <c r="F65" s="798" t="s">
        <v>637</v>
      </c>
      <c r="G65" s="739">
        <v>45</v>
      </c>
      <c r="H65" s="739"/>
      <c r="I65" s="739"/>
      <c r="J65" s="739"/>
      <c r="K65" s="798" t="s">
        <v>637</v>
      </c>
      <c r="L65" s="1056">
        <v>45</v>
      </c>
      <c r="M65" s="1056"/>
      <c r="N65" s="1056"/>
      <c r="O65" s="1056"/>
      <c r="P65" s="1485"/>
      <c r="Q65" s="1056">
        <v>45</v>
      </c>
      <c r="R65" s="1056"/>
      <c r="S65" s="1056"/>
      <c r="T65" s="1056"/>
      <c r="U65" s="798" t="s">
        <v>637</v>
      </c>
      <c r="V65" s="1056">
        <v>45</v>
      </c>
      <c r="W65" s="1056"/>
      <c r="X65" s="1056"/>
      <c r="Y65" s="1056"/>
      <c r="Z65" s="1056"/>
    </row>
    <row r="66" spans="1:26" hidden="1" x14ac:dyDescent="0.2">
      <c r="A66" s="274">
        <v>66</v>
      </c>
      <c r="B66" s="1192" t="s">
        <v>107</v>
      </c>
      <c r="C66" s="738"/>
      <c r="D66" s="739">
        <v>5</v>
      </c>
      <c r="E66" s="740"/>
      <c r="F66" s="796" t="s">
        <v>636</v>
      </c>
      <c r="G66" s="739"/>
      <c r="H66" s="739"/>
      <c r="I66" s="739">
        <v>5.03</v>
      </c>
      <c r="J66" s="739"/>
      <c r="K66" s="796" t="s">
        <v>636</v>
      </c>
      <c r="L66" s="1056"/>
      <c r="M66" s="1056"/>
      <c r="N66" s="1056">
        <v>5.03</v>
      </c>
      <c r="O66" s="1056"/>
      <c r="P66" s="1485"/>
      <c r="Q66" s="1056"/>
      <c r="R66" s="1056"/>
      <c r="S66" s="1056">
        <v>5.03</v>
      </c>
      <c r="T66" s="1056"/>
      <c r="U66" s="796" t="s">
        <v>636</v>
      </c>
      <c r="V66" s="1056"/>
      <c r="W66" s="1056"/>
      <c r="X66" s="1056">
        <v>5.03</v>
      </c>
      <c r="Y66" s="1056"/>
      <c r="Z66" s="1056"/>
    </row>
    <row r="67" spans="1:26" hidden="1" x14ac:dyDescent="0.2">
      <c r="A67" s="1682">
        <v>67</v>
      </c>
      <c r="B67" s="1192" t="s">
        <v>109</v>
      </c>
      <c r="C67" s="738">
        <v>45</v>
      </c>
      <c r="D67" s="739"/>
      <c r="E67" s="740"/>
      <c r="F67" s="798" t="s">
        <v>637</v>
      </c>
      <c r="G67" s="739">
        <v>45</v>
      </c>
      <c r="H67" s="739"/>
      <c r="I67" s="739"/>
      <c r="J67" s="739"/>
      <c r="K67" s="798" t="s">
        <v>637</v>
      </c>
      <c r="L67" s="1056">
        <v>45</v>
      </c>
      <c r="M67" s="1056"/>
      <c r="N67" s="1056"/>
      <c r="O67" s="1056"/>
      <c r="P67" s="1485"/>
      <c r="Q67" s="1056">
        <v>45</v>
      </c>
      <c r="R67" s="1056"/>
      <c r="S67" s="1056"/>
      <c r="T67" s="1056"/>
      <c r="U67" s="798" t="s">
        <v>637</v>
      </c>
      <c r="V67" s="1056">
        <v>45</v>
      </c>
      <c r="W67" s="1056"/>
      <c r="X67" s="1056"/>
      <c r="Y67" s="1056"/>
      <c r="Z67" s="1056"/>
    </row>
    <row r="68" spans="1:26" hidden="1" x14ac:dyDescent="0.2">
      <c r="A68" s="2127">
        <v>68</v>
      </c>
      <c r="B68" s="1192" t="s">
        <v>110</v>
      </c>
      <c r="C68" s="738">
        <v>45</v>
      </c>
      <c r="D68" s="739"/>
      <c r="E68" s="740"/>
      <c r="F68" s="798" t="s">
        <v>637</v>
      </c>
      <c r="G68" s="739">
        <v>45</v>
      </c>
      <c r="H68" s="739"/>
      <c r="I68" s="739"/>
      <c r="J68" s="739"/>
      <c r="K68" s="798" t="s">
        <v>637</v>
      </c>
      <c r="L68" s="1056">
        <v>45</v>
      </c>
      <c r="M68" s="1056"/>
      <c r="N68" s="1056"/>
      <c r="O68" s="1056"/>
      <c r="P68" s="1485"/>
      <c r="Q68" s="1056">
        <v>45</v>
      </c>
      <c r="R68" s="1056"/>
      <c r="S68" s="1056"/>
      <c r="T68" s="1056"/>
      <c r="U68" s="798" t="s">
        <v>637</v>
      </c>
      <c r="V68" s="1056">
        <v>45</v>
      </c>
      <c r="W68" s="1056"/>
      <c r="X68" s="1056"/>
      <c r="Y68" s="1056"/>
      <c r="Z68" s="1056"/>
    </row>
    <row r="69" spans="1:26" hidden="1" x14ac:dyDescent="0.2">
      <c r="A69" s="274">
        <v>69</v>
      </c>
      <c r="B69" s="81" t="s">
        <v>112</v>
      </c>
      <c r="C69" s="738"/>
      <c r="D69" s="739"/>
      <c r="E69" s="740"/>
      <c r="F69" s="798"/>
      <c r="G69" s="739"/>
      <c r="H69" s="739"/>
      <c r="I69" s="739">
        <v>5</v>
      </c>
      <c r="J69" s="739"/>
      <c r="K69" s="798"/>
      <c r="L69" s="1056"/>
      <c r="M69" s="1056"/>
      <c r="N69" s="1056"/>
      <c r="O69" s="1056"/>
      <c r="P69" s="1485"/>
      <c r="Q69" s="1056"/>
      <c r="R69" s="1056"/>
      <c r="S69" s="1056">
        <v>5</v>
      </c>
      <c r="T69" s="1056"/>
      <c r="U69" s="798"/>
      <c r="V69" s="1056"/>
      <c r="W69" s="1056"/>
      <c r="X69" s="1056">
        <v>5</v>
      </c>
      <c r="Y69" s="1056"/>
      <c r="Z69" s="1056"/>
    </row>
    <row r="70" spans="1:26" hidden="1" x14ac:dyDescent="0.2">
      <c r="A70" s="1682">
        <v>70</v>
      </c>
      <c r="B70" s="1190" t="s">
        <v>113</v>
      </c>
      <c r="C70" s="738">
        <v>45</v>
      </c>
      <c r="D70" s="739"/>
      <c r="E70" s="740"/>
      <c r="F70" s="798" t="s">
        <v>637</v>
      </c>
      <c r="G70" s="739">
        <v>45</v>
      </c>
      <c r="H70" s="739"/>
      <c r="I70" s="739"/>
      <c r="J70" s="739"/>
      <c r="K70" s="798" t="s">
        <v>637</v>
      </c>
      <c r="L70" s="1056">
        <v>45</v>
      </c>
      <c r="M70" s="1056"/>
      <c r="N70" s="1056"/>
      <c r="O70" s="1056"/>
      <c r="P70" s="1485"/>
      <c r="Q70" s="1056">
        <v>45</v>
      </c>
      <c r="R70" s="1056"/>
      <c r="S70" s="1056"/>
      <c r="T70" s="1056"/>
      <c r="U70" s="798" t="s">
        <v>637</v>
      </c>
      <c r="V70" s="1056">
        <v>45</v>
      </c>
      <c r="W70" s="1056"/>
      <c r="X70" s="1056"/>
      <c r="Y70" s="1056"/>
      <c r="Z70" s="1056"/>
    </row>
    <row r="71" spans="1:26" hidden="1" x14ac:dyDescent="0.2">
      <c r="A71" s="2127">
        <v>71</v>
      </c>
      <c r="B71" s="1190" t="s">
        <v>114</v>
      </c>
      <c r="C71" s="738">
        <v>45</v>
      </c>
      <c r="D71" s="739"/>
      <c r="E71" s="740"/>
      <c r="F71" s="798" t="s">
        <v>637</v>
      </c>
      <c r="G71" s="739">
        <v>45</v>
      </c>
      <c r="H71" s="739"/>
      <c r="I71" s="739"/>
      <c r="J71" s="739"/>
      <c r="K71" s="798" t="s">
        <v>637</v>
      </c>
      <c r="L71" s="1056">
        <v>45</v>
      </c>
      <c r="M71" s="1056"/>
      <c r="N71" s="1056"/>
      <c r="O71" s="1056"/>
      <c r="P71" s="1485"/>
      <c r="Q71" s="1056">
        <v>45</v>
      </c>
      <c r="R71" s="1056"/>
      <c r="S71" s="1056"/>
      <c r="T71" s="1056"/>
      <c r="U71" s="798" t="s">
        <v>637</v>
      </c>
      <c r="V71" s="1056">
        <v>45</v>
      </c>
      <c r="W71" s="1056"/>
      <c r="X71" s="1056"/>
      <c r="Y71" s="1056"/>
      <c r="Z71" s="1056"/>
    </row>
    <row r="72" spans="1:26" hidden="1" x14ac:dyDescent="0.2">
      <c r="A72" s="274">
        <v>72</v>
      </c>
      <c r="B72" s="1191" t="s">
        <v>115</v>
      </c>
      <c r="C72" s="738">
        <v>45</v>
      </c>
      <c r="D72" s="739"/>
      <c r="E72" s="740"/>
      <c r="F72" s="798" t="s">
        <v>637</v>
      </c>
      <c r="G72" s="739">
        <v>45</v>
      </c>
      <c r="H72" s="739"/>
      <c r="I72" s="739"/>
      <c r="J72" s="739"/>
      <c r="K72" s="798" t="s">
        <v>637</v>
      </c>
      <c r="L72" s="1056">
        <v>45</v>
      </c>
      <c r="M72" s="1056"/>
      <c r="N72" s="1056"/>
      <c r="O72" s="1056"/>
      <c r="P72" s="1485"/>
      <c r="Q72" s="1056">
        <v>45</v>
      </c>
      <c r="R72" s="1056"/>
      <c r="S72" s="1056"/>
      <c r="T72" s="1056"/>
      <c r="U72" s="798" t="s">
        <v>637</v>
      </c>
      <c r="V72" s="1056">
        <v>45</v>
      </c>
      <c r="W72" s="1056"/>
      <c r="X72" s="1056"/>
      <c r="Y72" s="1056"/>
      <c r="Z72" s="1056"/>
    </row>
    <row r="73" spans="1:26" hidden="1" x14ac:dyDescent="0.2">
      <c r="A73" s="1682">
        <v>73</v>
      </c>
      <c r="B73" s="1193" t="s">
        <v>116</v>
      </c>
      <c r="C73" s="738">
        <v>45</v>
      </c>
      <c r="D73" s="739"/>
      <c r="E73" s="740"/>
      <c r="F73" s="798" t="s">
        <v>637</v>
      </c>
      <c r="G73" s="739">
        <v>45</v>
      </c>
      <c r="H73" s="739"/>
      <c r="I73" s="739"/>
      <c r="J73" s="739"/>
      <c r="K73" s="798" t="s">
        <v>637</v>
      </c>
      <c r="L73" s="1056">
        <v>45</v>
      </c>
      <c r="M73" s="1056"/>
      <c r="N73" s="1056"/>
      <c r="O73" s="1056"/>
      <c r="P73" s="1485"/>
      <c r="Q73" s="1056">
        <v>45</v>
      </c>
      <c r="R73" s="1056"/>
      <c r="S73" s="1056"/>
      <c r="T73" s="1056"/>
      <c r="U73" s="798" t="s">
        <v>637</v>
      </c>
      <c r="V73" s="1056">
        <v>45</v>
      </c>
      <c r="W73" s="1056"/>
      <c r="X73" s="1056"/>
      <c r="Y73" s="1056"/>
      <c r="Z73" s="1056"/>
    </row>
    <row r="74" spans="1:26" hidden="1" x14ac:dyDescent="0.2">
      <c r="A74" s="2127">
        <v>74</v>
      </c>
      <c r="B74" s="1190" t="s">
        <v>117</v>
      </c>
      <c r="C74" s="738">
        <v>45</v>
      </c>
      <c r="D74" s="739"/>
      <c r="E74" s="740"/>
      <c r="F74" s="798" t="s">
        <v>637</v>
      </c>
      <c r="G74" s="739">
        <v>45</v>
      </c>
      <c r="H74" s="739"/>
      <c r="I74" s="739"/>
      <c r="J74" s="739"/>
      <c r="K74" s="798" t="s">
        <v>637</v>
      </c>
      <c r="L74" s="1056">
        <v>45</v>
      </c>
      <c r="M74" s="1056"/>
      <c r="N74" s="1056"/>
      <c r="O74" s="1056"/>
      <c r="P74" s="1485"/>
      <c r="Q74" s="1056">
        <v>45</v>
      </c>
      <c r="R74" s="1056"/>
      <c r="S74" s="1056"/>
      <c r="T74" s="1056"/>
      <c r="U74" s="798" t="s">
        <v>637</v>
      </c>
      <c r="V74" s="1056">
        <v>45</v>
      </c>
      <c r="W74" s="1056"/>
      <c r="X74" s="1056"/>
      <c r="Y74" s="1056"/>
      <c r="Z74" s="1056"/>
    </row>
    <row r="75" spans="1:26" hidden="1" x14ac:dyDescent="0.2">
      <c r="A75" s="274">
        <v>75</v>
      </c>
      <c r="B75" s="1191" t="s">
        <v>118</v>
      </c>
      <c r="C75" s="738">
        <v>45</v>
      </c>
      <c r="D75" s="739"/>
      <c r="E75" s="740"/>
      <c r="F75" s="798" t="s">
        <v>637</v>
      </c>
      <c r="G75" s="739">
        <v>45</v>
      </c>
      <c r="H75" s="739"/>
      <c r="I75" s="739"/>
      <c r="J75" s="739"/>
      <c r="K75" s="798" t="s">
        <v>637</v>
      </c>
      <c r="L75" s="1056">
        <v>45</v>
      </c>
      <c r="M75" s="1056"/>
      <c r="N75" s="1056"/>
      <c r="O75" s="1056"/>
      <c r="P75" s="1485"/>
      <c r="Q75" s="1056">
        <v>45</v>
      </c>
      <c r="R75" s="1056"/>
      <c r="S75" s="1056"/>
      <c r="T75" s="1056"/>
      <c r="U75" s="798" t="s">
        <v>637</v>
      </c>
      <c r="V75" s="1056">
        <v>45</v>
      </c>
      <c r="W75" s="1056"/>
      <c r="X75" s="1056"/>
      <c r="Y75" s="1056"/>
      <c r="Z75" s="1056"/>
    </row>
    <row r="76" spans="1:26" hidden="1" x14ac:dyDescent="0.2">
      <c r="A76" s="1682">
        <v>76</v>
      </c>
      <c r="B76" s="1190" t="s">
        <v>119</v>
      </c>
      <c r="C76" s="738">
        <v>45</v>
      </c>
      <c r="D76" s="739"/>
      <c r="E76" s="740"/>
      <c r="F76" s="798" t="s">
        <v>637</v>
      </c>
      <c r="G76" s="739">
        <v>45</v>
      </c>
      <c r="H76" s="739"/>
      <c r="I76" s="739"/>
      <c r="J76" s="739"/>
      <c r="K76" s="798" t="s">
        <v>637</v>
      </c>
      <c r="L76" s="1056">
        <v>45</v>
      </c>
      <c r="M76" s="1056"/>
      <c r="N76" s="1056"/>
      <c r="O76" s="1056"/>
      <c r="P76" s="1485"/>
      <c r="Q76" s="1056">
        <v>45</v>
      </c>
      <c r="R76" s="1056"/>
      <c r="S76" s="1056"/>
      <c r="T76" s="1056"/>
      <c r="U76" s="798" t="s">
        <v>637</v>
      </c>
      <c r="V76" s="1056">
        <v>45</v>
      </c>
      <c r="W76" s="1056"/>
      <c r="X76" s="1056"/>
      <c r="Y76" s="1056"/>
      <c r="Z76" s="1056"/>
    </row>
    <row r="77" spans="1:26" hidden="1" x14ac:dyDescent="0.2">
      <c r="A77" s="2127">
        <v>77</v>
      </c>
      <c r="B77" s="1191" t="s">
        <v>120</v>
      </c>
      <c r="C77" s="738">
        <v>45</v>
      </c>
      <c r="D77" s="739"/>
      <c r="E77" s="740"/>
      <c r="F77" s="798" t="s">
        <v>637</v>
      </c>
      <c r="G77" s="739">
        <v>45</v>
      </c>
      <c r="H77" s="739"/>
      <c r="I77" s="739"/>
      <c r="J77" s="739"/>
      <c r="K77" s="798" t="s">
        <v>637</v>
      </c>
      <c r="L77" s="1056">
        <v>45</v>
      </c>
      <c r="M77" s="1056"/>
      <c r="N77" s="1056"/>
      <c r="O77" s="1056"/>
      <c r="P77" s="1485"/>
      <c r="Q77" s="1056">
        <v>45</v>
      </c>
      <c r="R77" s="1056"/>
      <c r="S77" s="1056"/>
      <c r="T77" s="1056"/>
      <c r="U77" s="798" t="s">
        <v>637</v>
      </c>
      <c r="V77" s="1056">
        <v>45</v>
      </c>
      <c r="W77" s="1056"/>
      <c r="X77" s="1056"/>
      <c r="Y77" s="1056"/>
      <c r="Z77" s="1056"/>
    </row>
    <row r="78" spans="1:26" hidden="1" x14ac:dyDescent="0.2">
      <c r="A78" s="274">
        <v>78</v>
      </c>
      <c r="B78" s="1193" t="s">
        <v>659</v>
      </c>
      <c r="C78" s="738">
        <v>45</v>
      </c>
      <c r="D78" s="739"/>
      <c r="E78" s="740"/>
      <c r="F78" s="798" t="s">
        <v>637</v>
      </c>
      <c r="G78" s="739">
        <v>45</v>
      </c>
      <c r="H78" s="739"/>
      <c r="I78" s="739"/>
      <c r="J78" s="739"/>
      <c r="K78" s="798" t="s">
        <v>637</v>
      </c>
      <c r="L78" s="1056">
        <v>45</v>
      </c>
      <c r="M78" s="1056"/>
      <c r="N78" s="1056"/>
      <c r="O78" s="1056"/>
      <c r="P78" s="1485"/>
      <c r="Q78" s="1056">
        <v>45</v>
      </c>
      <c r="R78" s="1056"/>
      <c r="S78" s="1056"/>
      <c r="T78" s="1056"/>
      <c r="U78" s="798" t="s">
        <v>637</v>
      </c>
      <c r="V78" s="1056">
        <v>45</v>
      </c>
      <c r="W78" s="1056"/>
      <c r="X78" s="1056"/>
      <c r="Y78" s="1056"/>
      <c r="Z78" s="1056"/>
    </row>
    <row r="79" spans="1:26" hidden="1" x14ac:dyDescent="0.2">
      <c r="A79" s="1682">
        <v>79</v>
      </c>
      <c r="B79" s="1192" t="s">
        <v>660</v>
      </c>
      <c r="C79" s="738">
        <v>45</v>
      </c>
      <c r="D79" s="739"/>
      <c r="E79" s="740"/>
      <c r="F79" s="798" t="s">
        <v>637</v>
      </c>
      <c r="G79" s="739">
        <v>45</v>
      </c>
      <c r="H79" s="739"/>
      <c r="I79" s="739"/>
      <c r="J79" s="739"/>
      <c r="K79" s="798" t="s">
        <v>637</v>
      </c>
      <c r="L79" s="1056">
        <v>45</v>
      </c>
      <c r="M79" s="1056"/>
      <c r="N79" s="1056"/>
      <c r="O79" s="1056"/>
      <c r="P79" s="1485"/>
      <c r="Q79" s="1056">
        <v>45</v>
      </c>
      <c r="R79" s="1056"/>
      <c r="S79" s="1056"/>
      <c r="T79" s="1056"/>
      <c r="U79" s="798" t="s">
        <v>637</v>
      </c>
      <c r="V79" s="1056">
        <v>45</v>
      </c>
      <c r="W79" s="1056"/>
      <c r="X79" s="1056"/>
      <c r="Y79" s="1056"/>
      <c r="Z79" s="1056"/>
    </row>
    <row r="80" spans="1:26" hidden="1" x14ac:dyDescent="0.2">
      <c r="A80" s="2127">
        <v>80</v>
      </c>
      <c r="B80" s="1191" t="s">
        <v>121</v>
      </c>
      <c r="C80" s="738"/>
      <c r="D80" s="739"/>
      <c r="E80" s="740"/>
      <c r="F80" s="738"/>
      <c r="G80" s="739"/>
      <c r="H80" s="739"/>
      <c r="I80" s="739"/>
      <c r="J80" s="739"/>
      <c r="K80" s="738"/>
      <c r="L80" s="1056"/>
      <c r="M80" s="1056"/>
      <c r="N80" s="1056"/>
      <c r="O80" s="1056"/>
      <c r="P80" s="1485"/>
      <c r="Q80" s="1056"/>
      <c r="R80" s="1056"/>
      <c r="S80" s="1056"/>
      <c r="T80" s="1056"/>
      <c r="U80" s="738"/>
      <c r="V80" s="1056"/>
      <c r="W80" s="1056"/>
      <c r="X80" s="1056"/>
      <c r="Y80" s="1056"/>
      <c r="Z80" s="1056"/>
    </row>
    <row r="81" spans="1:26" hidden="1" x14ac:dyDescent="0.2">
      <c r="A81" s="274">
        <v>81</v>
      </c>
      <c r="B81" s="1191" t="s">
        <v>122</v>
      </c>
      <c r="C81" s="738"/>
      <c r="D81" s="739"/>
      <c r="E81" s="740"/>
      <c r="F81" s="738"/>
      <c r="G81" s="739"/>
      <c r="H81" s="739"/>
      <c r="I81" s="739"/>
      <c r="J81" s="739"/>
      <c r="K81" s="738"/>
      <c r="L81" s="1056"/>
      <c r="M81" s="1056"/>
      <c r="N81" s="1056"/>
      <c r="O81" s="1056"/>
      <c r="P81" s="1485"/>
      <c r="Q81" s="1056"/>
      <c r="R81" s="1056"/>
      <c r="S81" s="1056"/>
      <c r="T81" s="1056"/>
      <c r="U81" s="738"/>
      <c r="V81" s="1056"/>
      <c r="W81" s="1056"/>
      <c r="X81" s="1056"/>
      <c r="Y81" s="1056"/>
      <c r="Z81" s="1056"/>
    </row>
    <row r="82" spans="1:26" hidden="1" x14ac:dyDescent="0.2">
      <c r="A82" s="1682">
        <v>82</v>
      </c>
      <c r="B82" s="1191" t="s">
        <v>123</v>
      </c>
      <c r="C82" s="738">
        <v>45</v>
      </c>
      <c r="D82" s="739"/>
      <c r="E82" s="740"/>
      <c r="F82" s="798" t="s">
        <v>637</v>
      </c>
      <c r="G82" s="739">
        <v>45</v>
      </c>
      <c r="H82" s="739"/>
      <c r="I82" s="739"/>
      <c r="J82" s="739"/>
      <c r="K82" s="798" t="s">
        <v>637</v>
      </c>
      <c r="L82" s="1056">
        <v>45</v>
      </c>
      <c r="M82" s="1056"/>
      <c r="N82" s="1056"/>
      <c r="O82" s="1056"/>
      <c r="P82" s="1485"/>
      <c r="Q82" s="1056">
        <v>45</v>
      </c>
      <c r="R82" s="1056"/>
      <c r="S82" s="1056"/>
      <c r="T82" s="1056"/>
      <c r="U82" s="798" t="s">
        <v>637</v>
      </c>
      <c r="V82" s="1056">
        <v>45</v>
      </c>
      <c r="W82" s="1056"/>
      <c r="X82" s="1056"/>
      <c r="Y82" s="1056"/>
      <c r="Z82" s="1056"/>
    </row>
    <row r="83" spans="1:26" hidden="1" x14ac:dyDescent="0.2">
      <c r="A83" s="2127">
        <v>83</v>
      </c>
      <c r="B83" s="1191" t="s">
        <v>124</v>
      </c>
      <c r="C83" s="738">
        <v>45</v>
      </c>
      <c r="D83" s="739"/>
      <c r="E83" s="740"/>
      <c r="F83" s="798" t="s">
        <v>637</v>
      </c>
      <c r="G83" s="739">
        <v>45</v>
      </c>
      <c r="H83" s="739"/>
      <c r="I83" s="739"/>
      <c r="J83" s="739"/>
      <c r="K83" s="798" t="s">
        <v>637</v>
      </c>
      <c r="L83" s="1056">
        <v>45</v>
      </c>
      <c r="M83" s="1056"/>
      <c r="N83" s="1056"/>
      <c r="O83" s="1056"/>
      <c r="P83" s="1485"/>
      <c r="Q83" s="1056">
        <v>45</v>
      </c>
      <c r="R83" s="1056"/>
      <c r="S83" s="1056"/>
      <c r="T83" s="1056"/>
      <c r="U83" s="798" t="s">
        <v>637</v>
      </c>
      <c r="V83" s="1056">
        <v>45</v>
      </c>
      <c r="W83" s="1056"/>
      <c r="X83" s="1056"/>
      <c r="Y83" s="1056"/>
      <c r="Z83" s="1056"/>
    </row>
    <row r="84" spans="1:26" hidden="1" x14ac:dyDescent="0.2">
      <c r="A84" s="274">
        <v>84</v>
      </c>
      <c r="B84" s="1191" t="s">
        <v>125</v>
      </c>
      <c r="C84" s="738">
        <v>45</v>
      </c>
      <c r="D84" s="739"/>
      <c r="E84" s="740"/>
      <c r="F84" s="798" t="s">
        <v>637</v>
      </c>
      <c r="G84" s="739">
        <v>45</v>
      </c>
      <c r="H84" s="739"/>
      <c r="I84" s="739"/>
      <c r="J84" s="739"/>
      <c r="K84" s="798" t="s">
        <v>637</v>
      </c>
      <c r="L84" s="1056">
        <v>45</v>
      </c>
      <c r="M84" s="1056"/>
      <c r="N84" s="1056"/>
      <c r="O84" s="1056"/>
      <c r="P84" s="1485"/>
      <c r="Q84" s="1056">
        <v>45</v>
      </c>
      <c r="R84" s="1056"/>
      <c r="S84" s="1056"/>
      <c r="T84" s="1056"/>
      <c r="U84" s="798" t="s">
        <v>637</v>
      </c>
      <c r="V84" s="1056">
        <v>45</v>
      </c>
      <c r="W84" s="1056"/>
      <c r="X84" s="1056"/>
      <c r="Y84" s="1056"/>
      <c r="Z84" s="1056"/>
    </row>
    <row r="85" spans="1:26" hidden="1" x14ac:dyDescent="0.2">
      <c r="A85" s="1682">
        <v>85</v>
      </c>
      <c r="B85" s="1461" t="s">
        <v>910</v>
      </c>
      <c r="C85" s="1460">
        <v>15</v>
      </c>
      <c r="D85" s="746"/>
      <c r="E85" s="740">
        <v>15</v>
      </c>
      <c r="F85" s="798" t="s">
        <v>637</v>
      </c>
      <c r="G85" s="739">
        <v>45</v>
      </c>
      <c r="H85" s="739"/>
      <c r="I85" s="746"/>
      <c r="J85" s="739"/>
      <c r="K85" s="798" t="s">
        <v>637</v>
      </c>
      <c r="L85" s="1056">
        <v>45</v>
      </c>
      <c r="M85" s="1056"/>
      <c r="N85" s="880"/>
      <c r="O85" s="1056"/>
      <c r="P85" s="1485"/>
      <c r="Q85" s="1056">
        <v>45</v>
      </c>
      <c r="R85" s="1056"/>
      <c r="S85" s="880"/>
      <c r="T85" s="1056"/>
      <c r="U85" s="798" t="s">
        <v>637</v>
      </c>
      <c r="V85" s="1056">
        <v>45</v>
      </c>
      <c r="W85" s="1056"/>
      <c r="X85" s="880"/>
      <c r="Y85" s="880"/>
      <c r="Z85" s="1056"/>
    </row>
    <row r="86" spans="1:26" hidden="1" x14ac:dyDescent="0.2">
      <c r="A86" s="2127">
        <v>86</v>
      </c>
      <c r="B86" s="1192" t="s">
        <v>126</v>
      </c>
      <c r="C86" s="738">
        <v>45</v>
      </c>
      <c r="D86" s="739"/>
      <c r="E86" s="740"/>
      <c r="F86" s="798" t="s">
        <v>637</v>
      </c>
      <c r="G86" s="739">
        <v>45</v>
      </c>
      <c r="H86" s="739"/>
      <c r="I86" s="739"/>
      <c r="J86" s="739"/>
      <c r="K86" s="798" t="s">
        <v>637</v>
      </c>
      <c r="L86" s="1056">
        <v>45</v>
      </c>
      <c r="M86" s="1056"/>
      <c r="N86" s="1056"/>
      <c r="O86" s="1056"/>
      <c r="P86" s="1485"/>
      <c r="Q86" s="1056">
        <v>45</v>
      </c>
      <c r="R86" s="1056"/>
      <c r="S86" s="1056"/>
      <c r="T86" s="1056"/>
      <c r="U86" s="798" t="s">
        <v>637</v>
      </c>
      <c r="V86" s="1056">
        <v>45</v>
      </c>
      <c r="W86" s="1056"/>
      <c r="X86" s="1056"/>
      <c r="Y86" s="1056"/>
      <c r="Z86" s="1056"/>
    </row>
    <row r="87" spans="1:26" hidden="1" x14ac:dyDescent="0.2">
      <c r="A87" s="274">
        <v>87</v>
      </c>
      <c r="B87" s="81" t="s">
        <v>1011</v>
      </c>
      <c r="C87" s="738"/>
      <c r="D87" s="739"/>
      <c r="E87" s="740"/>
      <c r="F87" s="798"/>
      <c r="G87" s="739">
        <v>45</v>
      </c>
      <c r="H87" s="739"/>
      <c r="I87" s="739"/>
      <c r="J87" s="739">
        <v>15</v>
      </c>
      <c r="K87" s="798"/>
      <c r="L87" s="1056">
        <v>45</v>
      </c>
      <c r="M87" s="1056"/>
      <c r="N87" s="1056"/>
      <c r="O87" s="1056"/>
      <c r="P87" s="1485"/>
      <c r="Q87" s="1056">
        <v>45</v>
      </c>
      <c r="R87" s="1056"/>
      <c r="S87" s="1056"/>
      <c r="T87" s="1056"/>
      <c r="U87" s="798"/>
      <c r="V87" s="1056">
        <v>45</v>
      </c>
      <c r="W87" s="1056"/>
      <c r="X87" s="1056"/>
      <c r="Y87" s="1056"/>
      <c r="Z87" s="1056"/>
    </row>
    <row r="88" spans="1:26" hidden="1" x14ac:dyDescent="0.2">
      <c r="A88" s="1682">
        <v>88</v>
      </c>
      <c r="B88" s="1461" t="s">
        <v>911</v>
      </c>
      <c r="C88" s="1460">
        <v>45</v>
      </c>
      <c r="D88" s="746"/>
      <c r="E88" s="740">
        <v>15</v>
      </c>
      <c r="F88" s="798" t="s">
        <v>637</v>
      </c>
      <c r="G88" s="739">
        <v>45</v>
      </c>
      <c r="H88" s="739"/>
      <c r="I88" s="746"/>
      <c r="J88" s="739"/>
      <c r="K88" s="798" t="s">
        <v>637</v>
      </c>
      <c r="L88" s="1056">
        <v>45</v>
      </c>
      <c r="M88" s="1056"/>
      <c r="N88" s="880"/>
      <c r="O88" s="1056"/>
      <c r="P88" s="1485"/>
      <c r="Q88" s="1056">
        <v>45</v>
      </c>
      <c r="R88" s="1056"/>
      <c r="S88" s="880"/>
      <c r="T88" s="1056"/>
      <c r="U88" s="798" t="s">
        <v>637</v>
      </c>
      <c r="V88" s="1056">
        <v>45</v>
      </c>
      <c r="W88" s="1056"/>
      <c r="X88" s="880"/>
      <c r="Y88" s="880"/>
      <c r="Z88" s="1056"/>
    </row>
    <row r="89" spans="1:26" hidden="1" x14ac:dyDescent="0.2">
      <c r="A89" s="2127">
        <v>89</v>
      </c>
      <c r="B89" s="1189" t="s">
        <v>896</v>
      </c>
      <c r="C89" s="745"/>
      <c r="D89" s="746"/>
      <c r="E89" s="740"/>
      <c r="F89" s="798" t="s">
        <v>637</v>
      </c>
      <c r="G89" s="746"/>
      <c r="H89" s="746"/>
      <c r="I89" s="746"/>
      <c r="J89" s="739"/>
      <c r="K89" s="798" t="s">
        <v>637</v>
      </c>
      <c r="L89" s="880"/>
      <c r="M89" s="880"/>
      <c r="N89" s="880"/>
      <c r="O89" s="1056"/>
      <c r="P89" s="1485"/>
      <c r="Q89" s="880"/>
      <c r="R89" s="880"/>
      <c r="S89" s="880"/>
      <c r="T89" s="1056"/>
      <c r="U89" s="798" t="s">
        <v>637</v>
      </c>
      <c r="V89" s="880"/>
      <c r="W89" s="880"/>
      <c r="X89" s="880"/>
      <c r="Y89" s="880"/>
      <c r="Z89" s="1056"/>
    </row>
    <row r="90" spans="1:26" hidden="1" x14ac:dyDescent="0.2">
      <c r="A90" s="274">
        <v>90</v>
      </c>
      <c r="B90" s="1189" t="s">
        <v>919</v>
      </c>
      <c r="C90" s="745"/>
      <c r="D90" s="746"/>
      <c r="E90" s="740"/>
      <c r="F90" s="798" t="s">
        <v>636</v>
      </c>
      <c r="G90" s="746"/>
      <c r="H90" s="746"/>
      <c r="I90" s="746"/>
      <c r="J90" s="739"/>
      <c r="K90" s="798" t="s">
        <v>636</v>
      </c>
      <c r="L90" s="880"/>
      <c r="M90" s="880"/>
      <c r="N90" s="880"/>
      <c r="O90" s="1056"/>
      <c r="P90" s="1485"/>
      <c r="Q90" s="880"/>
      <c r="R90" s="880"/>
      <c r="S90" s="880"/>
      <c r="T90" s="1056"/>
      <c r="U90" s="798" t="s">
        <v>636</v>
      </c>
      <c r="V90" s="880"/>
      <c r="W90" s="880"/>
      <c r="X90" s="880"/>
      <c r="Y90" s="880"/>
      <c r="Z90" s="1056"/>
    </row>
    <row r="91" spans="1:26" hidden="1" x14ac:dyDescent="0.2">
      <c r="A91" s="1682">
        <v>91</v>
      </c>
      <c r="B91" s="1192" t="s">
        <v>128</v>
      </c>
      <c r="C91" s="738">
        <v>45</v>
      </c>
      <c r="D91" s="739"/>
      <c r="E91" s="740"/>
      <c r="F91" s="798" t="s">
        <v>637</v>
      </c>
      <c r="G91" s="739">
        <v>45</v>
      </c>
      <c r="H91" s="739"/>
      <c r="I91" s="739"/>
      <c r="J91" s="739"/>
      <c r="K91" s="798" t="s">
        <v>637</v>
      </c>
      <c r="L91" s="1056">
        <v>45</v>
      </c>
      <c r="M91" s="1056"/>
      <c r="N91" s="1056"/>
      <c r="O91" s="1056"/>
      <c r="P91" s="1485"/>
      <c r="Q91" s="1056">
        <v>45</v>
      </c>
      <c r="R91" s="1056"/>
      <c r="S91" s="1056"/>
      <c r="T91" s="1056"/>
      <c r="U91" s="798" t="s">
        <v>637</v>
      </c>
      <c r="V91" s="1056">
        <v>45</v>
      </c>
      <c r="W91" s="1056"/>
      <c r="X91" s="1056"/>
      <c r="Y91" s="1056"/>
      <c r="Z91" s="1056"/>
    </row>
    <row r="92" spans="1:26" hidden="1" x14ac:dyDescent="0.2">
      <c r="A92" s="2127">
        <v>92</v>
      </c>
      <c r="B92" s="1192" t="s">
        <v>538</v>
      </c>
      <c r="C92" s="738">
        <v>45</v>
      </c>
      <c r="D92" s="739"/>
      <c r="E92" s="740"/>
      <c r="F92" s="798" t="s">
        <v>637</v>
      </c>
      <c r="G92" s="739">
        <v>45</v>
      </c>
      <c r="H92" s="739"/>
      <c r="I92" s="739"/>
      <c r="J92" s="739"/>
      <c r="K92" s="798" t="s">
        <v>637</v>
      </c>
      <c r="L92" s="1056">
        <v>45</v>
      </c>
      <c r="M92" s="1056"/>
      <c r="N92" s="1056"/>
      <c r="O92" s="1056"/>
      <c r="P92" s="1485"/>
      <c r="Q92" s="1056">
        <v>45</v>
      </c>
      <c r="R92" s="1056"/>
      <c r="S92" s="1056"/>
      <c r="T92" s="1056"/>
      <c r="U92" s="798" t="s">
        <v>637</v>
      </c>
      <c r="V92" s="1056">
        <v>45</v>
      </c>
      <c r="W92" s="1056"/>
      <c r="X92" s="1056"/>
      <c r="Y92" s="1056"/>
      <c r="Z92" s="1056"/>
    </row>
    <row r="93" spans="1:26" hidden="1" x14ac:dyDescent="0.2">
      <c r="A93" s="274">
        <v>93</v>
      </c>
      <c r="B93" s="1193" t="s">
        <v>868</v>
      </c>
      <c r="C93" s="738"/>
      <c r="D93" s="739">
        <v>5</v>
      </c>
      <c r="E93" s="740"/>
      <c r="F93" s="796" t="s">
        <v>636</v>
      </c>
      <c r="G93" s="739"/>
      <c r="H93" s="739"/>
      <c r="I93" s="739">
        <v>5</v>
      </c>
      <c r="J93" s="739"/>
      <c r="K93" s="796" t="s">
        <v>636</v>
      </c>
      <c r="L93" s="1056"/>
      <c r="M93" s="1056"/>
      <c r="N93" s="1056">
        <v>5</v>
      </c>
      <c r="O93" s="1056"/>
      <c r="P93" s="1485"/>
      <c r="Q93" s="1056"/>
      <c r="R93" s="1056"/>
      <c r="S93" s="1056">
        <v>5</v>
      </c>
      <c r="T93" s="1056"/>
      <c r="U93" s="796" t="s">
        <v>636</v>
      </c>
      <c r="V93" s="1056"/>
      <c r="W93" s="1056"/>
      <c r="X93" s="1056">
        <v>5</v>
      </c>
      <c r="Y93" s="1056"/>
      <c r="Z93" s="1056"/>
    </row>
    <row r="94" spans="1:26" hidden="1" x14ac:dyDescent="0.2">
      <c r="A94" s="1682">
        <v>94</v>
      </c>
      <c r="B94" s="1191" t="s">
        <v>130</v>
      </c>
      <c r="C94" s="738"/>
      <c r="D94" s="739">
        <v>5</v>
      </c>
      <c r="E94" s="740"/>
      <c r="F94" s="796" t="s">
        <v>636</v>
      </c>
      <c r="G94" s="739"/>
      <c r="H94" s="739"/>
      <c r="I94" s="739">
        <v>5</v>
      </c>
      <c r="J94" s="739"/>
      <c r="K94" s="796" t="s">
        <v>636</v>
      </c>
      <c r="L94" s="1056"/>
      <c r="M94" s="1056"/>
      <c r="N94" s="1056">
        <v>5</v>
      </c>
      <c r="O94" s="1056"/>
      <c r="P94" s="1485"/>
      <c r="Q94" s="1056"/>
      <c r="R94" s="1056"/>
      <c r="S94" s="1056">
        <v>5</v>
      </c>
      <c r="T94" s="1056"/>
      <c r="U94" s="796" t="s">
        <v>636</v>
      </c>
      <c r="V94" s="1056"/>
      <c r="W94" s="1056"/>
      <c r="X94" s="1056">
        <v>5</v>
      </c>
      <c r="Y94" s="1056"/>
      <c r="Z94" s="1056"/>
    </row>
    <row r="95" spans="1:26" hidden="1" x14ac:dyDescent="0.2">
      <c r="A95" s="2127">
        <v>95</v>
      </c>
      <c r="B95" s="1191" t="s">
        <v>131</v>
      </c>
      <c r="C95" s="738"/>
      <c r="D95" s="739">
        <v>5</v>
      </c>
      <c r="E95" s="740"/>
      <c r="F95" s="796" t="s">
        <v>636</v>
      </c>
      <c r="G95" s="739">
        <v>45</v>
      </c>
      <c r="H95" s="739"/>
      <c r="I95" s="739"/>
      <c r="J95" s="739"/>
      <c r="K95" s="796" t="s">
        <v>636</v>
      </c>
      <c r="L95" s="1056">
        <v>45</v>
      </c>
      <c r="M95" s="1056"/>
      <c r="N95" s="1056"/>
      <c r="O95" s="1056"/>
      <c r="P95" s="1485"/>
      <c r="Q95" s="1056">
        <v>45</v>
      </c>
      <c r="R95" s="1056"/>
      <c r="S95" s="1056"/>
      <c r="T95" s="1056"/>
      <c r="U95" s="796" t="s">
        <v>636</v>
      </c>
      <c r="V95" s="1056">
        <v>45</v>
      </c>
      <c r="W95" s="1056"/>
      <c r="X95" s="1056"/>
      <c r="Y95" s="1056"/>
      <c r="Z95" s="1056"/>
    </row>
    <row r="96" spans="1:26" hidden="1" x14ac:dyDescent="0.2">
      <c r="A96" s="274">
        <v>96</v>
      </c>
      <c r="B96" s="1190" t="s">
        <v>132</v>
      </c>
      <c r="C96" s="738"/>
      <c r="D96" s="739">
        <v>5</v>
      </c>
      <c r="E96" s="740"/>
      <c r="F96" s="796" t="s">
        <v>636</v>
      </c>
      <c r="G96" s="739"/>
      <c r="H96" s="739"/>
      <c r="I96" s="739">
        <v>5</v>
      </c>
      <c r="J96" s="739"/>
      <c r="K96" s="796" t="s">
        <v>636</v>
      </c>
      <c r="L96" s="1056"/>
      <c r="M96" s="1056"/>
      <c r="N96" s="1056">
        <v>5</v>
      </c>
      <c r="O96" s="1056"/>
      <c r="P96" s="1485"/>
      <c r="Q96" s="1056"/>
      <c r="R96" s="1056"/>
      <c r="S96" s="1056">
        <v>5</v>
      </c>
      <c r="T96" s="1056"/>
      <c r="U96" s="796" t="s">
        <v>636</v>
      </c>
      <c r="V96" s="1056"/>
      <c r="W96" s="1056"/>
      <c r="X96" s="1056">
        <v>5</v>
      </c>
      <c r="Y96" s="1056"/>
      <c r="Z96" s="1056"/>
    </row>
    <row r="97" spans="1:26" hidden="1" x14ac:dyDescent="0.2">
      <c r="A97" s="1682">
        <v>97</v>
      </c>
      <c r="B97" s="81" t="s">
        <v>1012</v>
      </c>
      <c r="C97" s="738"/>
      <c r="D97" s="739"/>
      <c r="E97" s="740"/>
      <c r="F97" s="796"/>
      <c r="G97" s="739">
        <v>45</v>
      </c>
      <c r="H97" s="739"/>
      <c r="I97" s="739"/>
      <c r="J97" s="739">
        <v>15</v>
      </c>
      <c r="K97" s="796"/>
      <c r="L97" s="1056">
        <v>45</v>
      </c>
      <c r="M97" s="1056"/>
      <c r="N97" s="1056"/>
      <c r="O97" s="1056"/>
      <c r="P97" s="1485"/>
      <c r="Q97" s="1056">
        <v>45</v>
      </c>
      <c r="R97" s="1056"/>
      <c r="S97" s="1056"/>
      <c r="T97" s="1056"/>
      <c r="U97" s="796"/>
      <c r="V97" s="1056">
        <v>45</v>
      </c>
      <c r="W97" s="1056"/>
      <c r="X97" s="1056"/>
      <c r="Y97" s="1056"/>
      <c r="Z97" s="1056"/>
    </row>
    <row r="98" spans="1:26" hidden="1" x14ac:dyDescent="0.2">
      <c r="A98" s="2127">
        <v>98</v>
      </c>
      <c r="B98" s="1461" t="s">
        <v>912</v>
      </c>
      <c r="C98" s="1460">
        <v>45</v>
      </c>
      <c r="D98" s="739"/>
      <c r="E98" s="740">
        <v>15</v>
      </c>
      <c r="F98" s="798" t="s">
        <v>637</v>
      </c>
      <c r="G98" s="739">
        <v>45</v>
      </c>
      <c r="H98" s="739"/>
      <c r="I98" s="739"/>
      <c r="J98" s="739"/>
      <c r="K98" s="798" t="s">
        <v>637</v>
      </c>
      <c r="L98" s="1056">
        <v>45</v>
      </c>
      <c r="M98" s="1056"/>
      <c r="N98" s="1056"/>
      <c r="O98" s="1056"/>
      <c r="P98" s="1485"/>
      <c r="Q98" s="1056">
        <v>45</v>
      </c>
      <c r="R98" s="1056"/>
      <c r="S98" s="1056"/>
      <c r="T98" s="1056"/>
      <c r="U98" s="798" t="s">
        <v>637</v>
      </c>
      <c r="V98" s="1056">
        <v>45</v>
      </c>
      <c r="W98" s="1056"/>
      <c r="X98" s="1056"/>
      <c r="Y98" s="1056"/>
      <c r="Z98" s="1056"/>
    </row>
    <row r="99" spans="1:26" hidden="1" x14ac:dyDescent="0.2">
      <c r="A99" s="274">
        <v>99</v>
      </c>
      <c r="B99" s="1193" t="s">
        <v>134</v>
      </c>
      <c r="C99" s="738">
        <v>45</v>
      </c>
      <c r="D99" s="739"/>
      <c r="E99" s="740"/>
      <c r="F99" s="798" t="s">
        <v>637</v>
      </c>
      <c r="G99" s="739">
        <v>45</v>
      </c>
      <c r="H99" s="739"/>
      <c r="I99" s="739"/>
      <c r="J99" s="739"/>
      <c r="K99" s="798" t="s">
        <v>637</v>
      </c>
      <c r="L99" s="1056">
        <v>45</v>
      </c>
      <c r="M99" s="1056"/>
      <c r="N99" s="1056"/>
      <c r="O99" s="1056"/>
      <c r="P99" s="1485"/>
      <c r="Q99" s="1056">
        <v>45</v>
      </c>
      <c r="R99" s="1056"/>
      <c r="S99" s="1056"/>
      <c r="T99" s="1056"/>
      <c r="U99" s="798" t="s">
        <v>637</v>
      </c>
      <c r="V99" s="1056">
        <v>45</v>
      </c>
      <c r="W99" s="1056"/>
      <c r="X99" s="1056"/>
      <c r="Y99" s="1056"/>
      <c r="Z99" s="1056"/>
    </row>
    <row r="100" spans="1:26" hidden="1" x14ac:dyDescent="0.2">
      <c r="A100" s="1682">
        <v>100</v>
      </c>
      <c r="B100" s="1192" t="s">
        <v>135</v>
      </c>
      <c r="C100" s="738">
        <v>45</v>
      </c>
      <c r="D100" s="739"/>
      <c r="E100" s="740"/>
      <c r="F100" s="798" t="s">
        <v>637</v>
      </c>
      <c r="G100" s="739">
        <v>45</v>
      </c>
      <c r="H100" s="739"/>
      <c r="I100" s="739"/>
      <c r="J100" s="739"/>
      <c r="K100" s="798" t="s">
        <v>637</v>
      </c>
      <c r="L100" s="1056">
        <v>45</v>
      </c>
      <c r="M100" s="1056"/>
      <c r="N100" s="1056"/>
      <c r="O100" s="1056"/>
      <c r="P100" s="1485"/>
      <c r="Q100" s="1056">
        <v>45</v>
      </c>
      <c r="R100" s="1056"/>
      <c r="S100" s="1056"/>
      <c r="T100" s="1056"/>
      <c r="U100" s="798" t="s">
        <v>637</v>
      </c>
      <c r="V100" s="1056">
        <v>45</v>
      </c>
      <c r="W100" s="1056"/>
      <c r="X100" s="1056"/>
      <c r="Y100" s="1056"/>
      <c r="Z100" s="1056"/>
    </row>
    <row r="101" spans="1:26" hidden="1" x14ac:dyDescent="0.2">
      <c r="A101" s="2127">
        <v>101</v>
      </c>
      <c r="B101" s="1192" t="s">
        <v>136</v>
      </c>
      <c r="C101" s="738"/>
      <c r="D101" s="739">
        <v>5</v>
      </c>
      <c r="E101" s="740"/>
      <c r="F101" s="796" t="s">
        <v>636</v>
      </c>
      <c r="G101" s="739"/>
      <c r="H101" s="739"/>
      <c r="I101" s="739">
        <v>5</v>
      </c>
      <c r="J101" s="739"/>
      <c r="K101" s="796" t="s">
        <v>636</v>
      </c>
      <c r="L101" s="1056"/>
      <c r="M101" s="1056"/>
      <c r="N101" s="1056">
        <v>5</v>
      </c>
      <c r="O101" s="1056"/>
      <c r="P101" s="1485"/>
      <c r="Q101" s="1056"/>
      <c r="R101" s="1056"/>
      <c r="S101" s="1056">
        <v>5</v>
      </c>
      <c r="T101" s="1056"/>
      <c r="U101" s="796" t="s">
        <v>636</v>
      </c>
      <c r="V101" s="1056"/>
      <c r="W101" s="1056"/>
      <c r="X101" s="1056">
        <v>5</v>
      </c>
      <c r="Y101" s="1056"/>
      <c r="Z101" s="1056"/>
    </row>
    <row r="102" spans="1:26" hidden="1" x14ac:dyDescent="0.2">
      <c r="A102" s="274">
        <v>102</v>
      </c>
      <c r="B102" s="1459" t="s">
        <v>913</v>
      </c>
      <c r="C102" s="745"/>
      <c r="D102" s="739">
        <v>5</v>
      </c>
      <c r="E102" s="740"/>
      <c r="F102" s="796" t="s">
        <v>636</v>
      </c>
      <c r="G102" s="746"/>
      <c r="H102" s="746"/>
      <c r="I102" s="739">
        <v>5</v>
      </c>
      <c r="J102" s="739"/>
      <c r="K102" s="796" t="s">
        <v>636</v>
      </c>
      <c r="L102" s="880"/>
      <c r="M102" s="880"/>
      <c r="N102" s="1056">
        <v>5</v>
      </c>
      <c r="O102" s="1056"/>
      <c r="P102" s="1485"/>
      <c r="Q102" s="880"/>
      <c r="R102" s="880"/>
      <c r="S102" s="1056">
        <v>5</v>
      </c>
      <c r="T102" s="1056"/>
      <c r="U102" s="796" t="s">
        <v>636</v>
      </c>
      <c r="V102" s="880"/>
      <c r="W102" s="880"/>
      <c r="X102" s="1056">
        <v>5</v>
      </c>
      <c r="Y102" s="1056"/>
      <c r="Z102" s="1056"/>
    </row>
    <row r="103" spans="1:26" hidden="1" x14ac:dyDescent="0.2">
      <c r="A103" s="1682">
        <v>103</v>
      </c>
      <c r="B103" s="1461" t="s">
        <v>869</v>
      </c>
      <c r="C103" s="738"/>
      <c r="D103" s="739"/>
      <c r="E103" s="740"/>
      <c r="F103" s="796" t="s">
        <v>863</v>
      </c>
      <c r="G103" s="739"/>
      <c r="H103" s="739"/>
      <c r="I103" s="739"/>
      <c r="J103" s="739"/>
      <c r="K103" s="796" t="s">
        <v>863</v>
      </c>
      <c r="L103" s="1056"/>
      <c r="M103" s="1056"/>
      <c r="N103" s="1056"/>
      <c r="O103" s="1056"/>
      <c r="P103" s="1485"/>
      <c r="Q103" s="1056"/>
      <c r="R103" s="1056"/>
      <c r="S103" s="1056"/>
      <c r="T103" s="1056"/>
      <c r="U103" s="796" t="s">
        <v>863</v>
      </c>
      <c r="V103" s="1056"/>
      <c r="W103" s="1056"/>
      <c r="X103" s="1056"/>
      <c r="Y103" s="1056"/>
      <c r="Z103" s="1056"/>
    </row>
    <row r="104" spans="1:26" hidden="1" x14ac:dyDescent="0.2">
      <c r="A104" s="2127">
        <v>104</v>
      </c>
      <c r="B104" s="1192" t="s">
        <v>137</v>
      </c>
      <c r="C104" s="738">
        <v>45</v>
      </c>
      <c r="D104" s="739"/>
      <c r="E104" s="740"/>
      <c r="F104" s="798" t="s">
        <v>637</v>
      </c>
      <c r="G104" s="975">
        <v>45</v>
      </c>
      <c r="H104" s="739"/>
      <c r="I104" s="739"/>
      <c r="J104" s="739"/>
      <c r="K104" s="798" t="s">
        <v>637</v>
      </c>
      <c r="L104" s="1056">
        <v>45</v>
      </c>
      <c r="M104" s="1056"/>
      <c r="N104" s="1056"/>
      <c r="O104" s="1056"/>
      <c r="P104" s="1485"/>
      <c r="Q104" s="1056">
        <v>45</v>
      </c>
      <c r="R104" s="1056"/>
      <c r="S104" s="1056"/>
      <c r="T104" s="1056"/>
      <c r="U104" s="798" t="s">
        <v>637</v>
      </c>
      <c r="V104" s="1056">
        <v>45</v>
      </c>
      <c r="W104" s="1056"/>
      <c r="X104" s="1056"/>
      <c r="Y104" s="1056"/>
      <c r="Z104" s="1056"/>
    </row>
    <row r="105" spans="1:26" hidden="1" x14ac:dyDescent="0.2">
      <c r="A105" s="274">
        <v>105</v>
      </c>
      <c r="B105" s="1192" t="s">
        <v>138</v>
      </c>
      <c r="C105" s="738">
        <v>45</v>
      </c>
      <c r="D105" s="739"/>
      <c r="E105" s="740"/>
      <c r="F105" s="798" t="s">
        <v>637</v>
      </c>
      <c r="G105" s="739"/>
      <c r="H105" s="739"/>
      <c r="I105" s="739">
        <v>5</v>
      </c>
      <c r="J105" s="739"/>
      <c r="K105" s="798" t="s">
        <v>637</v>
      </c>
      <c r="L105" s="1056"/>
      <c r="M105" s="1056"/>
      <c r="N105" s="1056">
        <v>5</v>
      </c>
      <c r="O105" s="1056"/>
      <c r="P105" s="1485"/>
      <c r="Q105" s="1056"/>
      <c r="R105" s="1056"/>
      <c r="S105" s="1056">
        <v>5</v>
      </c>
      <c r="T105" s="1056"/>
      <c r="U105" s="798" t="s">
        <v>637</v>
      </c>
      <c r="V105" s="1056"/>
      <c r="W105" s="1056"/>
      <c r="X105" s="1056">
        <v>5</v>
      </c>
      <c r="Y105" s="1056"/>
      <c r="Z105" s="1056"/>
    </row>
    <row r="106" spans="1:26" hidden="1" x14ac:dyDescent="0.2">
      <c r="A106" s="1682">
        <v>106</v>
      </c>
      <c r="B106" s="1191" t="s">
        <v>139</v>
      </c>
      <c r="C106" s="738">
        <v>45</v>
      </c>
      <c r="D106" s="739"/>
      <c r="E106" s="740"/>
      <c r="F106" s="798" t="s">
        <v>637</v>
      </c>
      <c r="G106" s="739">
        <v>45</v>
      </c>
      <c r="H106" s="739"/>
      <c r="I106" s="739"/>
      <c r="J106" s="739"/>
      <c r="K106" s="798" t="s">
        <v>637</v>
      </c>
      <c r="L106" s="1056">
        <v>45</v>
      </c>
      <c r="M106" s="1056"/>
      <c r="N106" s="1056"/>
      <c r="O106" s="1056"/>
      <c r="P106" s="1485"/>
      <c r="Q106" s="1056">
        <v>45</v>
      </c>
      <c r="R106" s="1056"/>
      <c r="S106" s="1056"/>
      <c r="T106" s="1056"/>
      <c r="U106" s="798" t="s">
        <v>637</v>
      </c>
      <c r="V106" s="1056">
        <v>45</v>
      </c>
      <c r="W106" s="1056"/>
      <c r="X106" s="1056"/>
      <c r="Y106" s="1056"/>
      <c r="Z106" s="1056"/>
    </row>
    <row r="107" spans="1:26" hidden="1" x14ac:dyDescent="0.2">
      <c r="A107" s="2127">
        <v>107</v>
      </c>
      <c r="B107" s="1191" t="s">
        <v>140</v>
      </c>
      <c r="C107" s="738"/>
      <c r="D107" s="739">
        <v>5</v>
      </c>
      <c r="E107" s="740"/>
      <c r="F107" s="796" t="s">
        <v>636</v>
      </c>
      <c r="G107" s="739"/>
      <c r="H107" s="739"/>
      <c r="I107" s="739">
        <v>5</v>
      </c>
      <c r="J107" s="739"/>
      <c r="K107" s="796" t="s">
        <v>636</v>
      </c>
      <c r="L107" s="1056"/>
      <c r="M107" s="1056"/>
      <c r="N107" s="1056">
        <v>5</v>
      </c>
      <c r="O107" s="1056"/>
      <c r="P107" s="1485"/>
      <c r="Q107" s="1056"/>
      <c r="R107" s="1056"/>
      <c r="S107" s="1056">
        <v>5</v>
      </c>
      <c r="T107" s="1056"/>
      <c r="U107" s="796" t="s">
        <v>636</v>
      </c>
      <c r="V107" s="1056"/>
      <c r="W107" s="1056"/>
      <c r="X107" s="1056">
        <v>5</v>
      </c>
      <c r="Y107" s="1056"/>
      <c r="Z107" s="1056"/>
    </row>
    <row r="108" spans="1:26" ht="16" hidden="1" x14ac:dyDescent="0.2">
      <c r="A108" s="274">
        <v>108</v>
      </c>
      <c r="B108" s="1462" t="s">
        <v>758</v>
      </c>
      <c r="C108" s="738">
        <v>45</v>
      </c>
      <c r="D108" s="739"/>
      <c r="E108" s="740"/>
      <c r="F108" s="798" t="s">
        <v>637</v>
      </c>
      <c r="G108" s="739">
        <v>45</v>
      </c>
      <c r="H108" s="739"/>
      <c r="I108" s="739"/>
      <c r="J108" s="1458"/>
      <c r="K108" s="798" t="s">
        <v>637</v>
      </c>
      <c r="L108" s="1056">
        <v>45</v>
      </c>
      <c r="M108" s="1056"/>
      <c r="N108" s="1056"/>
      <c r="O108" s="1056"/>
      <c r="P108" s="1485"/>
      <c r="Q108" s="1056">
        <v>45</v>
      </c>
      <c r="R108" s="1056"/>
      <c r="S108" s="1056"/>
      <c r="T108" s="1056"/>
      <c r="U108" s="798" t="s">
        <v>637</v>
      </c>
      <c r="V108" s="1056">
        <v>45</v>
      </c>
      <c r="W108" s="1056"/>
      <c r="X108" s="1056"/>
      <c r="Y108" s="1056"/>
      <c r="Z108" s="1056"/>
    </row>
    <row r="109" spans="1:26" hidden="1" x14ac:dyDescent="0.2">
      <c r="A109" s="1682">
        <v>109</v>
      </c>
      <c r="B109" s="81" t="s">
        <v>1013</v>
      </c>
      <c r="C109" s="738"/>
      <c r="D109" s="739"/>
      <c r="E109" s="740"/>
      <c r="F109" s="798"/>
      <c r="G109" s="739">
        <v>45</v>
      </c>
      <c r="H109" s="739"/>
      <c r="I109" s="739"/>
      <c r="J109" s="1458">
        <v>15</v>
      </c>
      <c r="K109" s="798"/>
      <c r="L109" s="1056">
        <v>45</v>
      </c>
      <c r="M109" s="1056"/>
      <c r="N109" s="1056"/>
      <c r="O109" s="1056"/>
      <c r="P109" s="1485"/>
      <c r="Q109" s="1056">
        <v>45</v>
      </c>
      <c r="R109" s="1056"/>
      <c r="S109" s="1056"/>
      <c r="T109" s="1056"/>
      <c r="U109" s="798"/>
      <c r="V109" s="1056">
        <v>45</v>
      </c>
      <c r="W109" s="1056"/>
      <c r="X109" s="1056"/>
      <c r="Y109" s="1056"/>
      <c r="Z109" s="1056"/>
    </row>
    <row r="110" spans="1:26" hidden="1" x14ac:dyDescent="0.2">
      <c r="A110" s="2127">
        <v>110</v>
      </c>
      <c r="B110" s="1461" t="s">
        <v>865</v>
      </c>
      <c r="C110" s="738">
        <v>45</v>
      </c>
      <c r="D110" s="739"/>
      <c r="E110" s="740"/>
      <c r="F110" s="798" t="s">
        <v>637</v>
      </c>
      <c r="G110" s="739">
        <v>45</v>
      </c>
      <c r="H110" s="739"/>
      <c r="I110" s="739"/>
      <c r="J110" s="739"/>
      <c r="K110" s="798" t="s">
        <v>637</v>
      </c>
      <c r="L110" s="1056">
        <v>45</v>
      </c>
      <c r="M110" s="1056"/>
      <c r="N110" s="1056"/>
      <c r="O110" s="1056"/>
      <c r="P110" s="1485"/>
      <c r="Q110" s="1056">
        <v>45</v>
      </c>
      <c r="R110" s="1056"/>
      <c r="S110" s="1056"/>
      <c r="T110" s="1056"/>
      <c r="U110" s="798" t="s">
        <v>637</v>
      </c>
      <c r="V110" s="1056">
        <v>45</v>
      </c>
      <c r="W110" s="1056"/>
      <c r="X110" s="1056"/>
      <c r="Y110" s="1056"/>
      <c r="Z110" s="1056"/>
    </row>
    <row r="111" spans="1:26" hidden="1" x14ac:dyDescent="0.2">
      <c r="A111" s="274">
        <v>111</v>
      </c>
      <c r="B111" s="1461" t="s">
        <v>914</v>
      </c>
      <c r="C111" s="745"/>
      <c r="D111" s="739">
        <v>5</v>
      </c>
      <c r="E111" s="740"/>
      <c r="F111" s="796" t="s">
        <v>636</v>
      </c>
      <c r="G111" s="746"/>
      <c r="H111" s="746"/>
      <c r="I111" s="739">
        <v>5</v>
      </c>
      <c r="J111" s="739"/>
      <c r="K111" s="796" t="s">
        <v>636</v>
      </c>
      <c r="L111" s="880"/>
      <c r="M111" s="880"/>
      <c r="N111" s="1056">
        <v>5</v>
      </c>
      <c r="O111" s="1056"/>
      <c r="P111" s="1485"/>
      <c r="Q111" s="880"/>
      <c r="R111" s="880"/>
      <c r="S111" s="1056">
        <v>5</v>
      </c>
      <c r="T111" s="1056"/>
      <c r="U111" s="796" t="s">
        <v>636</v>
      </c>
      <c r="V111" s="880"/>
      <c r="W111" s="880"/>
      <c r="X111" s="1056">
        <v>5</v>
      </c>
      <c r="Y111" s="1056"/>
      <c r="Z111" s="1056"/>
    </row>
    <row r="112" spans="1:26" hidden="1" x14ac:dyDescent="0.2">
      <c r="A112" s="1682">
        <v>112</v>
      </c>
      <c r="B112" s="1191" t="s">
        <v>141</v>
      </c>
      <c r="C112" s="738"/>
      <c r="D112" s="739">
        <v>5</v>
      </c>
      <c r="E112" s="740"/>
      <c r="F112" s="796" t="s">
        <v>636</v>
      </c>
      <c r="G112" s="739"/>
      <c r="H112" s="739"/>
      <c r="I112" s="739">
        <v>5</v>
      </c>
      <c r="J112" s="739"/>
      <c r="K112" s="796" t="s">
        <v>636</v>
      </c>
      <c r="L112" s="1056"/>
      <c r="M112" s="1056"/>
      <c r="N112" s="1056">
        <v>5</v>
      </c>
      <c r="O112" s="1056"/>
      <c r="P112" s="1485"/>
      <c r="Q112" s="1056"/>
      <c r="R112" s="1056"/>
      <c r="S112" s="1056">
        <v>5</v>
      </c>
      <c r="T112" s="1056"/>
      <c r="U112" s="796" t="s">
        <v>636</v>
      </c>
      <c r="V112" s="1056"/>
      <c r="W112" s="1056"/>
      <c r="X112" s="1056">
        <v>5</v>
      </c>
      <c r="Y112" s="1056"/>
      <c r="Z112" s="1056"/>
    </row>
    <row r="113" spans="1:26" hidden="1" x14ac:dyDescent="0.2">
      <c r="A113" s="2127">
        <v>113</v>
      </c>
      <c r="B113" s="1191" t="s">
        <v>142</v>
      </c>
      <c r="C113" s="738">
        <v>45</v>
      </c>
      <c r="D113" s="739"/>
      <c r="E113" s="740"/>
      <c r="F113" s="798" t="s">
        <v>637</v>
      </c>
      <c r="G113" s="975">
        <v>45</v>
      </c>
      <c r="H113" s="739"/>
      <c r="I113" s="739"/>
      <c r="J113" s="739"/>
      <c r="K113" s="798" t="s">
        <v>637</v>
      </c>
      <c r="L113" s="1056">
        <v>45</v>
      </c>
      <c r="M113" s="1056"/>
      <c r="N113" s="1056"/>
      <c r="O113" s="1056"/>
      <c r="P113" s="1485"/>
      <c r="Q113" s="1056">
        <v>45</v>
      </c>
      <c r="R113" s="1056"/>
      <c r="S113" s="1056"/>
      <c r="T113" s="1056"/>
      <c r="U113" s="798" t="s">
        <v>637</v>
      </c>
      <c r="V113" s="1056">
        <v>45</v>
      </c>
      <c r="W113" s="1056"/>
      <c r="X113" s="1056"/>
      <c r="Y113" s="1056"/>
      <c r="Z113" s="1056"/>
    </row>
    <row r="114" spans="1:26" hidden="1" x14ac:dyDescent="0.2">
      <c r="A114" s="274">
        <v>114</v>
      </c>
      <c r="B114" s="1193" t="s">
        <v>143</v>
      </c>
      <c r="C114" s="738">
        <v>45</v>
      </c>
      <c r="D114" s="739"/>
      <c r="E114" s="740"/>
      <c r="F114" s="798" t="s">
        <v>637</v>
      </c>
      <c r="G114" s="739"/>
      <c r="H114" s="739"/>
      <c r="I114" s="739"/>
      <c r="J114" s="739"/>
      <c r="K114" s="798" t="s">
        <v>637</v>
      </c>
      <c r="L114" s="1056"/>
      <c r="M114" s="1056"/>
      <c r="N114" s="1056"/>
      <c r="O114" s="1056"/>
      <c r="P114" s="1485"/>
      <c r="Q114" s="1056"/>
      <c r="R114" s="1056"/>
      <c r="S114" s="1056"/>
      <c r="T114" s="1056"/>
      <c r="U114" s="798" t="s">
        <v>637</v>
      </c>
      <c r="V114" s="1056"/>
      <c r="W114" s="1056"/>
      <c r="X114" s="1056"/>
      <c r="Y114" s="1056"/>
      <c r="Z114" s="1056"/>
    </row>
    <row r="115" spans="1:26" hidden="1" x14ac:dyDescent="0.2">
      <c r="A115" s="1682">
        <v>115</v>
      </c>
      <c r="B115" s="1192" t="s">
        <v>144</v>
      </c>
      <c r="C115" s="738">
        <v>45</v>
      </c>
      <c r="D115" s="739"/>
      <c r="E115" s="740"/>
      <c r="F115" s="798" t="s">
        <v>637</v>
      </c>
      <c r="G115" s="739">
        <v>45</v>
      </c>
      <c r="H115" s="739"/>
      <c r="I115" s="739"/>
      <c r="J115" s="739"/>
      <c r="K115" s="798" t="s">
        <v>637</v>
      </c>
      <c r="L115" s="1056">
        <v>45</v>
      </c>
      <c r="M115" s="1056"/>
      <c r="N115" s="1056"/>
      <c r="O115" s="1056"/>
      <c r="P115" s="1485"/>
      <c r="Q115" s="1056">
        <v>45</v>
      </c>
      <c r="R115" s="1056"/>
      <c r="S115" s="1056"/>
      <c r="T115" s="1056"/>
      <c r="U115" s="798" t="s">
        <v>637</v>
      </c>
      <c r="V115" s="1056">
        <v>45</v>
      </c>
      <c r="W115" s="1056"/>
      <c r="X115" s="1056"/>
      <c r="Y115" s="1056"/>
      <c r="Z115" s="1056"/>
    </row>
    <row r="116" spans="1:26" hidden="1" x14ac:dyDescent="0.2">
      <c r="A116" s="2127">
        <v>116</v>
      </c>
      <c r="B116" s="1191" t="s">
        <v>145</v>
      </c>
      <c r="C116" s="738"/>
      <c r="D116" s="739">
        <v>5</v>
      </c>
      <c r="E116" s="740"/>
      <c r="F116" s="796" t="s">
        <v>636</v>
      </c>
      <c r="G116" s="739"/>
      <c r="H116" s="739"/>
      <c r="I116" s="739">
        <v>5</v>
      </c>
      <c r="J116" s="739"/>
      <c r="K116" s="796" t="s">
        <v>636</v>
      </c>
      <c r="L116" s="1056"/>
      <c r="M116" s="1056"/>
      <c r="N116" s="1056">
        <v>5</v>
      </c>
      <c r="O116" s="1056"/>
      <c r="P116" s="1485"/>
      <c r="Q116" s="1056"/>
      <c r="R116" s="1056"/>
      <c r="S116" s="1056">
        <v>5</v>
      </c>
      <c r="T116" s="1056"/>
      <c r="U116" s="796" t="s">
        <v>636</v>
      </c>
      <c r="V116" s="1056"/>
      <c r="W116" s="1056"/>
      <c r="X116" s="1056">
        <v>5</v>
      </c>
      <c r="Y116" s="1056"/>
      <c r="Z116" s="1056"/>
    </row>
    <row r="117" spans="1:26" hidden="1" x14ac:dyDescent="0.2">
      <c r="A117" s="274">
        <v>117</v>
      </c>
      <c r="B117" s="1192" t="s">
        <v>146</v>
      </c>
      <c r="C117" s="738">
        <v>45</v>
      </c>
      <c r="D117" s="739"/>
      <c r="E117" s="740"/>
      <c r="F117" s="798" t="s">
        <v>637</v>
      </c>
      <c r="G117" s="739">
        <v>45</v>
      </c>
      <c r="H117" s="739"/>
      <c r="I117" s="739"/>
      <c r="J117" s="739"/>
      <c r="K117" s="798" t="s">
        <v>637</v>
      </c>
      <c r="L117" s="1056">
        <v>45</v>
      </c>
      <c r="M117" s="1056"/>
      <c r="N117" s="1056"/>
      <c r="O117" s="1056"/>
      <c r="P117" s="1485"/>
      <c r="Q117" s="1056">
        <v>45</v>
      </c>
      <c r="R117" s="1056"/>
      <c r="S117" s="1056"/>
      <c r="T117" s="1056"/>
      <c r="U117" s="798" t="s">
        <v>637</v>
      </c>
      <c r="V117" s="1056">
        <v>45</v>
      </c>
      <c r="W117" s="1056"/>
      <c r="X117" s="1056"/>
      <c r="Y117" s="1056"/>
      <c r="Z117" s="1056"/>
    </row>
    <row r="118" spans="1:26" hidden="1" x14ac:dyDescent="0.2">
      <c r="A118" s="1682">
        <v>118</v>
      </c>
      <c r="B118" s="1193" t="s">
        <v>147</v>
      </c>
      <c r="C118" s="738">
        <v>45</v>
      </c>
      <c r="D118" s="739"/>
      <c r="E118" s="740"/>
      <c r="F118" s="798" t="s">
        <v>637</v>
      </c>
      <c r="G118" s="739">
        <v>45</v>
      </c>
      <c r="H118" s="739"/>
      <c r="I118" s="739"/>
      <c r="J118" s="739"/>
      <c r="K118" s="798" t="s">
        <v>637</v>
      </c>
      <c r="L118" s="1056">
        <v>45</v>
      </c>
      <c r="M118" s="1056"/>
      <c r="N118" s="1056"/>
      <c r="O118" s="1056"/>
      <c r="P118" s="1485"/>
      <c r="Q118" s="1056">
        <v>45</v>
      </c>
      <c r="R118" s="1056"/>
      <c r="S118" s="1056"/>
      <c r="T118" s="1056"/>
      <c r="U118" s="798" t="s">
        <v>637</v>
      </c>
      <c r="V118" s="1056">
        <v>45</v>
      </c>
      <c r="W118" s="1056"/>
      <c r="X118" s="1056"/>
      <c r="Y118" s="1056"/>
      <c r="Z118" s="1056"/>
    </row>
    <row r="119" spans="1:26" hidden="1" x14ac:dyDescent="0.2">
      <c r="A119" s="2127">
        <v>119</v>
      </c>
      <c r="B119" s="1192" t="s">
        <v>661</v>
      </c>
      <c r="C119" s="738">
        <v>45</v>
      </c>
      <c r="D119" s="739"/>
      <c r="E119" s="740"/>
      <c r="F119" s="798" t="s">
        <v>637</v>
      </c>
      <c r="G119" s="739">
        <v>45</v>
      </c>
      <c r="H119" s="739"/>
      <c r="I119" s="739"/>
      <c r="J119" s="1458"/>
      <c r="K119" s="798" t="s">
        <v>637</v>
      </c>
      <c r="L119" s="1056">
        <v>45</v>
      </c>
      <c r="M119" s="1056"/>
      <c r="N119" s="1056"/>
      <c r="O119" s="1056"/>
      <c r="P119" s="1485"/>
      <c r="Q119" s="1056">
        <v>45</v>
      </c>
      <c r="R119" s="1056"/>
      <c r="S119" s="1056"/>
      <c r="T119" s="1056"/>
      <c r="U119" s="798" t="s">
        <v>637</v>
      </c>
      <c r="V119" s="1056">
        <v>45</v>
      </c>
      <c r="W119" s="1056"/>
      <c r="X119" s="1056"/>
      <c r="Y119" s="1056"/>
      <c r="Z119" s="1056"/>
    </row>
    <row r="120" spans="1:26" hidden="1" x14ac:dyDescent="0.2">
      <c r="A120" s="274">
        <v>120</v>
      </c>
      <c r="B120" s="81" t="s">
        <v>1014</v>
      </c>
      <c r="C120" s="738"/>
      <c r="D120" s="739"/>
      <c r="E120" s="740"/>
      <c r="F120" s="798"/>
      <c r="G120" s="739">
        <v>45</v>
      </c>
      <c r="H120" s="739"/>
      <c r="I120" s="739"/>
      <c r="J120" s="1458">
        <v>15</v>
      </c>
      <c r="K120" s="798"/>
      <c r="L120" s="1056">
        <v>45</v>
      </c>
      <c r="M120" s="1056"/>
      <c r="N120" s="1056"/>
      <c r="O120" s="1056"/>
      <c r="P120" s="1485"/>
      <c r="Q120" s="1056">
        <v>45</v>
      </c>
      <c r="R120" s="1056"/>
      <c r="S120" s="1056"/>
      <c r="T120" s="1056"/>
      <c r="U120" s="798"/>
      <c r="V120" s="1056">
        <v>45</v>
      </c>
      <c r="W120" s="1056"/>
      <c r="X120" s="1056"/>
      <c r="Y120" s="1056"/>
      <c r="Z120" s="1056"/>
    </row>
    <row r="121" spans="1:26" hidden="1" x14ac:dyDescent="0.2">
      <c r="A121" s="1682">
        <v>121</v>
      </c>
      <c r="B121" s="1193" t="s">
        <v>539</v>
      </c>
      <c r="C121" s="796" t="s">
        <v>866</v>
      </c>
      <c r="D121" s="739"/>
      <c r="E121" s="740"/>
      <c r="F121" s="738"/>
      <c r="G121" s="795"/>
      <c r="H121" s="795"/>
      <c r="I121" s="739"/>
      <c r="J121" s="739"/>
      <c r="K121" s="738"/>
      <c r="L121" s="880"/>
      <c r="M121" s="880"/>
      <c r="N121" s="1056"/>
      <c r="O121" s="1056"/>
      <c r="P121" s="1485"/>
      <c r="Q121" s="880"/>
      <c r="R121" s="880"/>
      <c r="S121" s="1056"/>
      <c r="T121" s="1056"/>
      <c r="U121" s="738"/>
      <c r="V121" s="880"/>
      <c r="W121" s="880"/>
      <c r="X121" s="1056"/>
      <c r="Y121" s="1056"/>
      <c r="Z121" s="1056"/>
    </row>
    <row r="122" spans="1:26" hidden="1" x14ac:dyDescent="0.2">
      <c r="A122" s="2127">
        <v>122</v>
      </c>
      <c r="B122" s="1192" t="s">
        <v>870</v>
      </c>
      <c r="C122" s="738"/>
      <c r="D122" s="739" t="s">
        <v>866</v>
      </c>
      <c r="E122" s="740"/>
      <c r="F122" s="738"/>
      <c r="G122" s="739"/>
      <c r="H122" s="739"/>
      <c r="I122" s="739"/>
      <c r="J122" s="739"/>
      <c r="K122" s="738"/>
      <c r="L122" s="1056"/>
      <c r="M122" s="1056"/>
      <c r="N122" s="1056"/>
      <c r="O122" s="1056"/>
      <c r="P122" s="1485"/>
      <c r="Q122" s="1056"/>
      <c r="R122" s="1056"/>
      <c r="S122" s="1056"/>
      <c r="T122" s="1056"/>
      <c r="U122" s="738"/>
      <c r="V122" s="1056"/>
      <c r="W122" s="1056"/>
      <c r="X122" s="1056"/>
      <c r="Y122" s="1056"/>
      <c r="Z122" s="1056"/>
    </row>
    <row r="123" spans="1:26" hidden="1" x14ac:dyDescent="0.2">
      <c r="A123" s="274">
        <v>123</v>
      </c>
      <c r="B123" s="81" t="s">
        <v>1015</v>
      </c>
      <c r="C123" s="738"/>
      <c r="D123" s="739"/>
      <c r="E123" s="740"/>
      <c r="F123" s="738"/>
      <c r="G123" s="739">
        <v>45</v>
      </c>
      <c r="H123" s="739"/>
      <c r="I123" s="739"/>
      <c r="J123" s="739">
        <v>15</v>
      </c>
      <c r="K123" s="738"/>
      <c r="L123" s="1056">
        <v>45</v>
      </c>
      <c r="M123" s="1056"/>
      <c r="N123" s="1056"/>
      <c r="O123" s="1056"/>
      <c r="P123" s="1485"/>
      <c r="Q123" s="1056">
        <v>45</v>
      </c>
      <c r="R123" s="1056"/>
      <c r="S123" s="1056"/>
      <c r="T123" s="1056"/>
      <c r="U123" s="738"/>
      <c r="V123" s="1056">
        <v>45</v>
      </c>
      <c r="W123" s="1056"/>
      <c r="X123" s="1056"/>
      <c r="Y123" s="1056"/>
      <c r="Z123" s="1056"/>
    </row>
    <row r="124" spans="1:26" hidden="1" x14ac:dyDescent="0.2">
      <c r="A124" s="1682">
        <v>124</v>
      </c>
      <c r="B124" s="1193" t="s">
        <v>149</v>
      </c>
      <c r="C124" s="738">
        <v>45</v>
      </c>
      <c r="D124" s="739"/>
      <c r="E124" s="740"/>
      <c r="F124" s="798" t="s">
        <v>637</v>
      </c>
      <c r="G124" s="739">
        <v>45</v>
      </c>
      <c r="H124" s="739"/>
      <c r="I124" s="739"/>
      <c r="J124" s="739"/>
      <c r="K124" s="798" t="s">
        <v>637</v>
      </c>
      <c r="L124" s="1056">
        <v>45</v>
      </c>
      <c r="M124" s="1056"/>
      <c r="N124" s="1056"/>
      <c r="O124" s="1056"/>
      <c r="P124" s="1485"/>
      <c r="Q124" s="1056">
        <v>45</v>
      </c>
      <c r="R124" s="1056"/>
      <c r="S124" s="1056"/>
      <c r="T124" s="1056"/>
      <c r="U124" s="798" t="s">
        <v>637</v>
      </c>
      <c r="V124" s="1056">
        <v>45</v>
      </c>
      <c r="W124" s="1056"/>
      <c r="X124" s="1056"/>
      <c r="Y124" s="1056"/>
      <c r="Z124" s="1056"/>
    </row>
    <row r="125" spans="1:26" hidden="1" x14ac:dyDescent="0.2">
      <c r="A125" s="2127">
        <v>125</v>
      </c>
      <c r="B125" s="1192" t="s">
        <v>150</v>
      </c>
      <c r="C125" s="738"/>
      <c r="D125" s="739">
        <v>5</v>
      </c>
      <c r="E125" s="740"/>
      <c r="F125" s="796" t="s">
        <v>636</v>
      </c>
      <c r="G125" s="739"/>
      <c r="H125" s="739"/>
      <c r="I125" s="739"/>
      <c r="J125" s="739"/>
      <c r="K125" s="796" t="s">
        <v>636</v>
      </c>
      <c r="L125" s="1056"/>
      <c r="M125" s="1056"/>
      <c r="N125" s="1056"/>
      <c r="O125" s="1056"/>
      <c r="P125" s="1485"/>
      <c r="Q125" s="1056"/>
      <c r="R125" s="1056"/>
      <c r="S125" s="1056"/>
      <c r="T125" s="1056"/>
      <c r="U125" s="796" t="s">
        <v>636</v>
      </c>
      <c r="V125" s="1056"/>
      <c r="W125" s="1056"/>
      <c r="X125" s="1056"/>
      <c r="Y125" s="1056"/>
      <c r="Z125" s="1056"/>
    </row>
    <row r="126" spans="1:26" hidden="1" x14ac:dyDescent="0.2">
      <c r="A126" s="274">
        <v>126</v>
      </c>
      <c r="B126" s="1191" t="s">
        <v>151</v>
      </c>
      <c r="C126" s="738">
        <v>45</v>
      </c>
      <c r="D126" s="739"/>
      <c r="E126" s="740"/>
      <c r="F126" s="798" t="s">
        <v>637</v>
      </c>
      <c r="G126" s="975">
        <v>45</v>
      </c>
      <c r="H126" s="739"/>
      <c r="I126" s="739"/>
      <c r="J126" s="739"/>
      <c r="K126" s="798" t="s">
        <v>637</v>
      </c>
      <c r="L126" s="1056">
        <v>45</v>
      </c>
      <c r="M126" s="1056"/>
      <c r="N126" s="1056"/>
      <c r="O126" s="1056"/>
      <c r="P126" s="1485"/>
      <c r="Q126" s="1056">
        <v>45</v>
      </c>
      <c r="R126" s="1056"/>
      <c r="S126" s="1056"/>
      <c r="T126" s="1056"/>
      <c r="U126" s="798" t="s">
        <v>637</v>
      </c>
      <c r="V126" s="1056">
        <v>45</v>
      </c>
      <c r="W126" s="1056"/>
      <c r="X126" s="1056"/>
      <c r="Y126" s="1056"/>
      <c r="Z126" s="1056"/>
    </row>
    <row r="127" spans="1:26" hidden="1" x14ac:dyDescent="0.2">
      <c r="A127" s="1682">
        <v>127</v>
      </c>
      <c r="B127" s="1192" t="s">
        <v>153</v>
      </c>
      <c r="C127" s="738"/>
      <c r="D127" s="739">
        <v>5</v>
      </c>
      <c r="E127" s="740"/>
      <c r="F127" s="796" t="s">
        <v>636</v>
      </c>
      <c r="G127" s="739"/>
      <c r="H127" s="739"/>
      <c r="I127" s="739"/>
      <c r="J127" s="1458"/>
      <c r="K127" s="796" t="s">
        <v>636</v>
      </c>
      <c r="L127" s="1056"/>
      <c r="M127" s="1056"/>
      <c r="N127" s="1056"/>
      <c r="O127" s="1056"/>
      <c r="P127" s="1485"/>
      <c r="Q127" s="1056"/>
      <c r="R127" s="1056"/>
      <c r="S127" s="1056"/>
      <c r="T127" s="1056"/>
      <c r="U127" s="796" t="s">
        <v>636</v>
      </c>
      <c r="V127" s="1056"/>
      <c r="W127" s="1056"/>
      <c r="X127" s="1056"/>
      <c r="Y127" s="1056"/>
      <c r="Z127" s="1056"/>
    </row>
    <row r="128" spans="1:26" hidden="1" x14ac:dyDescent="0.2">
      <c r="A128" s="2127">
        <v>128</v>
      </c>
      <c r="B128" s="1192" t="s">
        <v>154</v>
      </c>
      <c r="C128" s="738">
        <v>45</v>
      </c>
      <c r="D128" s="739"/>
      <c r="E128" s="740"/>
      <c r="F128" s="798" t="s">
        <v>637</v>
      </c>
      <c r="G128" s="739">
        <v>45</v>
      </c>
      <c r="H128" s="739"/>
      <c r="I128" s="739"/>
      <c r="J128" s="739"/>
      <c r="K128" s="798" t="s">
        <v>637</v>
      </c>
      <c r="L128" s="1056">
        <v>45</v>
      </c>
      <c r="M128" s="1056"/>
      <c r="N128" s="1056"/>
      <c r="O128" s="1056"/>
      <c r="P128" s="1485"/>
      <c r="Q128" s="1056">
        <v>45</v>
      </c>
      <c r="R128" s="1056"/>
      <c r="S128" s="1056"/>
      <c r="T128" s="1056"/>
      <c r="U128" s="798" t="s">
        <v>637</v>
      </c>
      <c r="V128" s="1056">
        <v>45</v>
      </c>
      <c r="W128" s="1056"/>
      <c r="X128" s="1056"/>
      <c r="Y128" s="1056"/>
      <c r="Z128" s="1056"/>
    </row>
    <row r="129" spans="1:26" ht="16" hidden="1" thickBot="1" x14ac:dyDescent="0.25">
      <c r="A129" s="274">
        <v>129</v>
      </c>
      <c r="B129" s="1195" t="s">
        <v>155</v>
      </c>
      <c r="C129" s="1045"/>
      <c r="D129" s="1046">
        <v>5</v>
      </c>
      <c r="E129" s="1463"/>
      <c r="F129" s="1047" t="s">
        <v>636</v>
      </c>
      <c r="G129" s="1046"/>
      <c r="H129" s="1046"/>
      <c r="I129" s="1046">
        <v>5</v>
      </c>
      <c r="J129" s="1046"/>
      <c r="K129" s="1047" t="s">
        <v>636</v>
      </c>
      <c r="L129" s="1057"/>
      <c r="M129" s="1057"/>
      <c r="N129" s="1057">
        <v>5</v>
      </c>
      <c r="O129" s="1057"/>
      <c r="P129" s="1486"/>
      <c r="Q129" s="1057"/>
      <c r="R129" s="1057"/>
      <c r="S129" s="1057">
        <v>5</v>
      </c>
      <c r="T129" s="1057"/>
      <c r="U129" s="1047" t="s">
        <v>636</v>
      </c>
      <c r="V129" s="1057"/>
      <c r="W129" s="1057"/>
      <c r="X129" s="1057">
        <v>5</v>
      </c>
      <c r="Y129" s="1057"/>
      <c r="Z129" s="1057"/>
    </row>
    <row r="130" spans="1:26" hidden="1" x14ac:dyDescent="0.2">
      <c r="A130" s="1682">
        <v>130</v>
      </c>
      <c r="B130" s="1196" t="s">
        <v>1016</v>
      </c>
      <c r="C130" s="1041"/>
      <c r="D130" s="1042"/>
      <c r="E130" s="1464"/>
      <c r="F130" s="1043"/>
      <c r="G130" s="1042"/>
      <c r="H130" s="1042"/>
      <c r="I130" s="1042"/>
      <c r="J130" s="1042"/>
      <c r="K130" s="1053">
        <v>5</v>
      </c>
      <c r="L130" s="1062">
        <f>55*K130</f>
        <v>275</v>
      </c>
      <c r="M130" s="1062"/>
      <c r="N130" s="1062">
        <f>SUM(N19:N129)</f>
        <v>100.03</v>
      </c>
      <c r="O130" s="1062"/>
      <c r="P130" s="1487"/>
      <c r="Q130" s="1044">
        <v>275</v>
      </c>
      <c r="R130" s="1044"/>
      <c r="S130" s="1044"/>
      <c r="T130" s="1044"/>
      <c r="U130" s="1053">
        <v>5</v>
      </c>
      <c r="V130" s="1044">
        <f>55*U130</f>
        <v>275</v>
      </c>
      <c r="W130" s="1044"/>
      <c r="X130" s="1044"/>
      <c r="Y130" s="1044"/>
      <c r="Z130" s="1044"/>
    </row>
    <row r="131" spans="1:26" hidden="1" x14ac:dyDescent="0.2">
      <c r="A131" s="2127">
        <v>131</v>
      </c>
      <c r="B131" s="1197" t="s">
        <v>1017</v>
      </c>
      <c r="C131" s="738"/>
      <c r="D131" s="739"/>
      <c r="E131" s="740"/>
      <c r="F131" s="798"/>
      <c r="G131" s="739"/>
      <c r="H131" s="739"/>
      <c r="I131" s="739"/>
      <c r="J131" s="739"/>
      <c r="K131" s="1054">
        <v>5</v>
      </c>
      <c r="L131" s="1056"/>
      <c r="M131" s="1056"/>
      <c r="N131" s="1056"/>
      <c r="O131" s="1056"/>
      <c r="P131" s="1485"/>
      <c r="Q131" s="978"/>
      <c r="R131" s="978"/>
      <c r="S131" s="978">
        <v>25</v>
      </c>
      <c r="T131" s="978"/>
      <c r="U131" s="1054">
        <v>5</v>
      </c>
      <c r="V131" s="978"/>
      <c r="W131" s="978"/>
      <c r="X131" s="978">
        <f>+U131*5</f>
        <v>25</v>
      </c>
      <c r="Y131" s="978"/>
      <c r="Z131" s="978"/>
    </row>
    <row r="132" spans="1:26" hidden="1" x14ac:dyDescent="0.2">
      <c r="A132" s="274">
        <v>132</v>
      </c>
      <c r="B132" s="1197" t="s">
        <v>1077</v>
      </c>
      <c r="C132" s="738"/>
      <c r="D132" s="739"/>
      <c r="E132" s="740"/>
      <c r="F132" s="798"/>
      <c r="G132" s="739"/>
      <c r="H132" s="739"/>
      <c r="I132" s="739"/>
      <c r="J132" s="739"/>
      <c r="K132" s="1054">
        <v>65</v>
      </c>
      <c r="L132" s="1056">
        <f>+K132*55</f>
        <v>3575</v>
      </c>
      <c r="M132" s="1056"/>
      <c r="N132" s="1056"/>
      <c r="O132" s="1056"/>
      <c r="P132" s="1485"/>
      <c r="Q132" s="978">
        <v>3575</v>
      </c>
      <c r="R132" s="978"/>
      <c r="S132" s="978"/>
      <c r="T132" s="978"/>
      <c r="U132" s="1054">
        <v>65</v>
      </c>
      <c r="V132" s="978">
        <f>+U132*55</f>
        <v>3575</v>
      </c>
      <c r="W132" s="978"/>
      <c r="X132" s="978"/>
      <c r="Y132" s="978"/>
      <c r="Z132" s="978"/>
    </row>
    <row r="133" spans="1:26" hidden="1" x14ac:dyDescent="0.2">
      <c r="A133" s="1682">
        <v>133</v>
      </c>
      <c r="B133" s="1197" t="s">
        <v>1078</v>
      </c>
      <c r="C133" s="738"/>
      <c r="D133" s="739"/>
      <c r="E133" s="740"/>
      <c r="F133" s="798"/>
      <c r="G133" s="739"/>
      <c r="H133" s="739"/>
      <c r="I133" s="739"/>
      <c r="J133" s="739"/>
      <c r="K133" s="1054">
        <v>24</v>
      </c>
      <c r="L133" s="1056"/>
      <c r="M133" s="1056"/>
      <c r="N133" s="1056"/>
      <c r="O133" s="1056"/>
      <c r="P133" s="1485"/>
      <c r="Q133" s="978"/>
      <c r="R133" s="978"/>
      <c r="S133" s="978">
        <v>120</v>
      </c>
      <c r="T133" s="978"/>
      <c r="U133" s="1054">
        <v>24</v>
      </c>
      <c r="V133" s="978"/>
      <c r="W133" s="978"/>
      <c r="X133" s="978">
        <f>+U133*5</f>
        <v>120</v>
      </c>
      <c r="Y133" s="978"/>
      <c r="Z133" s="978"/>
    </row>
    <row r="134" spans="1:26" hidden="1" x14ac:dyDescent="0.2">
      <c r="A134" s="2127">
        <v>134</v>
      </c>
      <c r="B134" s="1192"/>
      <c r="C134" s="738"/>
      <c r="D134" s="739"/>
      <c r="E134" s="740"/>
      <c r="F134" s="796"/>
      <c r="G134" s="739"/>
      <c r="H134" s="739"/>
      <c r="I134" s="739"/>
      <c r="J134" s="739"/>
      <c r="K134" s="1054">
        <v>5</v>
      </c>
      <c r="L134" s="739"/>
      <c r="M134" s="739"/>
      <c r="N134" s="739"/>
      <c r="O134" s="739">
        <f>+K134*15</f>
        <v>75</v>
      </c>
      <c r="P134" s="814"/>
      <c r="Q134" s="739"/>
      <c r="R134" s="739"/>
      <c r="S134" s="739"/>
      <c r="T134" s="739">
        <v>75</v>
      </c>
      <c r="U134" s="1054">
        <v>5</v>
      </c>
      <c r="V134" s="739"/>
      <c r="W134" s="739"/>
      <c r="X134" s="739"/>
      <c r="Y134" s="739"/>
      <c r="Z134" s="739">
        <f>+U134*15</f>
        <v>75</v>
      </c>
    </row>
    <row r="135" spans="1:26" hidden="1" x14ac:dyDescent="0.2">
      <c r="A135" s="274">
        <v>135</v>
      </c>
      <c r="U135" s="1465"/>
    </row>
    <row r="136" spans="1:26" hidden="1" x14ac:dyDescent="0.2">
      <c r="A136" s="1682">
        <v>136</v>
      </c>
      <c r="U136" s="1465"/>
    </row>
    <row r="137" spans="1:26" x14ac:dyDescent="0.2">
      <c r="A137" s="2127">
        <v>137</v>
      </c>
      <c r="B137" s="1466"/>
      <c r="U137" s="1465"/>
    </row>
    <row r="138" spans="1:26" x14ac:dyDescent="0.2">
      <c r="A138" s="274">
        <v>138</v>
      </c>
      <c r="B138" s="1198" t="s">
        <v>1095</v>
      </c>
      <c r="C138" s="12"/>
      <c r="D138" s="12"/>
      <c r="E138" s="12"/>
      <c r="F138" s="12"/>
      <c r="G138" s="12"/>
      <c r="H138" s="12"/>
      <c r="I138" s="12"/>
      <c r="J138" s="12"/>
      <c r="K138" s="12"/>
      <c r="L138" s="1141">
        <v>0</v>
      </c>
      <c r="M138" s="115"/>
      <c r="N138" s="115"/>
      <c r="O138" s="115"/>
      <c r="P138" s="1109">
        <f>+L138+M138+N138</f>
        <v>0</v>
      </c>
      <c r="Q138" s="115"/>
      <c r="R138" s="115"/>
      <c r="S138" s="115"/>
      <c r="T138" s="115"/>
      <c r="U138" s="1145"/>
      <c r="V138" s="115"/>
      <c r="W138" s="115"/>
      <c r="X138" s="115"/>
      <c r="Y138" s="115"/>
      <c r="Z138" s="115">
        <f>SUM(V138:X138)</f>
        <v>0</v>
      </c>
    </row>
    <row r="139" spans="1:26" x14ac:dyDescent="0.2">
      <c r="A139" s="1682">
        <v>139</v>
      </c>
      <c r="B139" s="1199" t="s">
        <v>1096</v>
      </c>
      <c r="C139" s="12"/>
      <c r="D139" s="12"/>
      <c r="E139" s="12"/>
      <c r="F139" s="12"/>
      <c r="G139" s="12"/>
      <c r="H139" s="12"/>
      <c r="I139" s="12"/>
      <c r="J139" s="12"/>
      <c r="K139" s="12"/>
      <c r="L139" s="1141">
        <v>0</v>
      </c>
      <c r="M139" s="115"/>
      <c r="N139" s="115"/>
      <c r="O139" s="115"/>
      <c r="P139" s="1109">
        <f t="shared" ref="P139:P203" si="0">+L139+M139+N139</f>
        <v>0</v>
      </c>
      <c r="Q139" s="115"/>
      <c r="R139" s="115"/>
      <c r="S139" s="115"/>
      <c r="T139" s="115"/>
      <c r="U139" s="1145"/>
      <c r="V139" s="115"/>
      <c r="W139" s="115"/>
      <c r="X139" s="115"/>
      <c r="Y139" s="115"/>
      <c r="Z139" s="115">
        <f t="shared" ref="Z139:Z202" si="1">SUM(V139:X139)</f>
        <v>0</v>
      </c>
    </row>
    <row r="140" spans="1:26" x14ac:dyDescent="0.2">
      <c r="A140" s="2127">
        <v>140</v>
      </c>
      <c r="B140" s="1198" t="s">
        <v>1100</v>
      </c>
      <c r="C140" s="12"/>
      <c r="D140" s="12"/>
      <c r="E140" s="12"/>
      <c r="F140" s="12"/>
      <c r="G140" s="12"/>
      <c r="H140" s="12"/>
      <c r="I140" s="12"/>
      <c r="J140" s="12"/>
      <c r="K140" s="12"/>
      <c r="L140" s="1141">
        <v>0</v>
      </c>
      <c r="M140" s="115"/>
      <c r="N140" s="115"/>
      <c r="O140" s="115"/>
      <c r="P140" s="1109">
        <f t="shared" si="0"/>
        <v>0</v>
      </c>
      <c r="Q140" s="115"/>
      <c r="R140" s="115"/>
      <c r="S140" s="115"/>
      <c r="T140" s="115"/>
      <c r="U140" s="1145"/>
      <c r="V140" s="115"/>
      <c r="W140" s="115"/>
      <c r="X140" s="115"/>
      <c r="Y140" s="115"/>
      <c r="Z140" s="115">
        <f t="shared" si="1"/>
        <v>0</v>
      </c>
    </row>
    <row r="141" spans="1:26" x14ac:dyDescent="0.2">
      <c r="A141" s="274">
        <v>141</v>
      </c>
      <c r="B141" s="1199" t="s">
        <v>1101</v>
      </c>
      <c r="C141" s="12"/>
      <c r="D141" s="12"/>
      <c r="E141" s="12"/>
      <c r="F141" s="12"/>
      <c r="G141" s="12"/>
      <c r="H141" s="12"/>
      <c r="I141" s="12"/>
      <c r="J141" s="12"/>
      <c r="K141" s="12"/>
      <c r="L141" s="1141">
        <v>0</v>
      </c>
      <c r="M141" s="115"/>
      <c r="N141" s="115"/>
      <c r="O141" s="115"/>
      <c r="P141" s="1109">
        <f t="shared" si="0"/>
        <v>0</v>
      </c>
      <c r="Q141" s="115"/>
      <c r="R141" s="115"/>
      <c r="S141" s="115"/>
      <c r="T141" s="115"/>
      <c r="U141" s="1145"/>
      <c r="V141" s="115"/>
      <c r="W141" s="115"/>
      <c r="X141" s="115"/>
      <c r="Y141" s="115"/>
      <c r="Z141" s="115">
        <f t="shared" si="1"/>
        <v>0</v>
      </c>
    </row>
    <row r="142" spans="1:26" s="282" customFormat="1" x14ac:dyDescent="0.2">
      <c r="A142" s="1682">
        <v>142</v>
      </c>
      <c r="B142" s="1199" t="s">
        <v>1102</v>
      </c>
      <c r="C142" s="12"/>
      <c r="D142" s="12"/>
      <c r="E142" s="12"/>
      <c r="F142" s="12"/>
      <c r="G142" s="12"/>
      <c r="H142" s="12"/>
      <c r="I142" s="12"/>
      <c r="J142" s="12"/>
      <c r="K142" s="12"/>
      <c r="L142" s="1141">
        <v>0</v>
      </c>
      <c r="M142" s="115"/>
      <c r="N142" s="115"/>
      <c r="O142" s="115"/>
      <c r="P142" s="1109">
        <f t="shared" si="0"/>
        <v>0</v>
      </c>
      <c r="Q142" s="115"/>
      <c r="R142" s="115"/>
      <c r="S142" s="115"/>
      <c r="T142" s="115"/>
      <c r="U142" s="1145"/>
      <c r="V142" s="115"/>
      <c r="W142" s="115"/>
      <c r="X142" s="115"/>
      <c r="Y142" s="115"/>
      <c r="Z142" s="115">
        <f t="shared" si="1"/>
        <v>0</v>
      </c>
    </row>
    <row r="143" spans="1:26" x14ac:dyDescent="0.2">
      <c r="A143" s="2127">
        <v>143</v>
      </c>
      <c r="B143" s="1198" t="s">
        <v>121</v>
      </c>
      <c r="C143" s="12"/>
      <c r="D143" s="12"/>
      <c r="E143" s="12"/>
      <c r="F143" s="12"/>
      <c r="G143" s="12"/>
      <c r="H143" s="12"/>
      <c r="I143" s="12"/>
      <c r="J143" s="12"/>
      <c r="K143" s="12"/>
      <c r="L143" s="1141">
        <v>0</v>
      </c>
      <c r="M143" s="115"/>
      <c r="N143" s="115"/>
      <c r="O143" s="115"/>
      <c r="P143" s="1109">
        <f t="shared" si="0"/>
        <v>0</v>
      </c>
      <c r="Q143" s="115">
        <v>55</v>
      </c>
      <c r="R143" s="115"/>
      <c r="S143" s="115"/>
      <c r="T143" s="115"/>
      <c r="U143" s="1145"/>
      <c r="V143" s="115"/>
      <c r="W143" s="115"/>
      <c r="X143" s="115"/>
      <c r="Y143" s="115"/>
      <c r="Z143" s="115">
        <f t="shared" si="1"/>
        <v>0</v>
      </c>
    </row>
    <row r="144" spans="1:26" x14ac:dyDescent="0.2">
      <c r="A144" s="274">
        <v>144</v>
      </c>
      <c r="B144" s="1198" t="s">
        <v>122</v>
      </c>
      <c r="C144" s="12"/>
      <c r="D144" s="12"/>
      <c r="E144" s="12"/>
      <c r="F144" s="12"/>
      <c r="G144" s="12"/>
      <c r="H144" s="12"/>
      <c r="I144" s="12"/>
      <c r="J144" s="12"/>
      <c r="K144" s="12"/>
      <c r="L144" s="1141">
        <v>0</v>
      </c>
      <c r="M144" s="115"/>
      <c r="N144" s="115"/>
      <c r="O144" s="115"/>
      <c r="P144" s="1109">
        <f t="shared" si="0"/>
        <v>0</v>
      </c>
      <c r="Q144" s="115"/>
      <c r="R144" s="115"/>
      <c r="S144" s="115"/>
      <c r="T144" s="115"/>
      <c r="U144" s="1145"/>
      <c r="V144" s="115"/>
      <c r="W144" s="115"/>
      <c r="X144" s="115"/>
      <c r="Y144" s="115"/>
      <c r="Z144" s="115">
        <f t="shared" si="1"/>
        <v>0</v>
      </c>
    </row>
    <row r="145" spans="1:26" x14ac:dyDescent="0.2">
      <c r="A145" s="1682">
        <v>145</v>
      </c>
      <c r="B145" s="1198" t="s">
        <v>1103</v>
      </c>
      <c r="C145" s="12"/>
      <c r="D145" s="12"/>
      <c r="E145" s="12"/>
      <c r="F145" s="12"/>
      <c r="G145" s="12"/>
      <c r="H145" s="12"/>
      <c r="I145" s="12"/>
      <c r="J145" s="12"/>
      <c r="K145" s="12"/>
      <c r="L145" s="1141">
        <v>0</v>
      </c>
      <c r="M145" s="115"/>
      <c r="N145" s="115"/>
      <c r="O145" s="115"/>
      <c r="P145" s="1109">
        <f t="shared" si="0"/>
        <v>0</v>
      </c>
      <c r="Q145" s="115"/>
      <c r="R145" s="115"/>
      <c r="S145" s="115"/>
      <c r="T145" s="115"/>
      <c r="U145" s="1145"/>
      <c r="V145" s="115"/>
      <c r="W145" s="115"/>
      <c r="X145" s="115"/>
      <c r="Y145" s="115"/>
      <c r="Z145" s="115">
        <f t="shared" si="1"/>
        <v>0</v>
      </c>
    </row>
    <row r="146" spans="1:26" x14ac:dyDescent="0.2">
      <c r="A146" s="2127">
        <v>146</v>
      </c>
      <c r="B146" s="1198" t="s">
        <v>1109</v>
      </c>
      <c r="C146" s="12"/>
      <c r="D146" s="12"/>
      <c r="E146" s="12"/>
      <c r="F146" s="12"/>
      <c r="G146" s="12"/>
      <c r="H146" s="12"/>
      <c r="I146" s="12"/>
      <c r="J146" s="12"/>
      <c r="K146" s="12"/>
      <c r="L146" s="1141">
        <v>55</v>
      </c>
      <c r="M146" s="115"/>
      <c r="N146" s="115"/>
      <c r="O146" s="115"/>
      <c r="P146" s="1109">
        <f t="shared" si="0"/>
        <v>55</v>
      </c>
      <c r="Q146" s="115">
        <v>55</v>
      </c>
      <c r="R146" s="115"/>
      <c r="S146" s="115"/>
      <c r="T146" s="115">
        <v>55</v>
      </c>
      <c r="U146" s="1145"/>
      <c r="V146" s="115"/>
      <c r="W146" s="115"/>
      <c r="X146" s="115"/>
      <c r="Y146" s="115"/>
      <c r="Z146" s="115">
        <f t="shared" si="1"/>
        <v>0</v>
      </c>
    </row>
    <row r="147" spans="1:26" x14ac:dyDescent="0.2">
      <c r="A147" s="274">
        <v>147</v>
      </c>
      <c r="B147" s="1467"/>
      <c r="C147" s="792"/>
      <c r="D147" s="792"/>
      <c r="E147" s="792"/>
      <c r="F147" s="792"/>
      <c r="G147" s="792"/>
      <c r="H147" s="792"/>
      <c r="I147" s="792"/>
      <c r="J147" s="792"/>
      <c r="K147" s="792"/>
      <c r="L147" s="1160"/>
      <c r="M147" s="1152"/>
      <c r="N147" s="1152"/>
      <c r="O147" s="1152"/>
      <c r="P147" s="1109">
        <f t="shared" si="0"/>
        <v>0</v>
      </c>
      <c r="Q147" s="1152"/>
      <c r="R147" s="1152"/>
      <c r="S147" s="1152"/>
      <c r="T147" s="1152"/>
      <c r="U147" s="1161"/>
      <c r="V147" s="1152"/>
      <c r="W147" s="1152"/>
      <c r="X147" s="1152"/>
      <c r="Y147" s="1152"/>
      <c r="Z147" s="115">
        <f t="shared" si="1"/>
        <v>0</v>
      </c>
    </row>
    <row r="148" spans="1:26" x14ac:dyDescent="0.2">
      <c r="A148" s="1682">
        <v>148</v>
      </c>
      <c r="B148" s="1468" t="s">
        <v>72</v>
      </c>
      <c r="C148" s="12"/>
      <c r="D148" s="12"/>
      <c r="E148" s="12"/>
      <c r="F148" s="12"/>
      <c r="G148" s="12"/>
      <c r="H148" s="12"/>
      <c r="I148" s="12"/>
      <c r="J148" s="12"/>
      <c r="K148" s="12"/>
      <c r="L148" s="1141">
        <v>55</v>
      </c>
      <c r="M148" s="115"/>
      <c r="N148" s="115"/>
      <c r="O148" s="115"/>
      <c r="P148" s="1109">
        <f t="shared" si="0"/>
        <v>55</v>
      </c>
      <c r="Q148" s="115">
        <v>55</v>
      </c>
      <c r="R148" s="115"/>
      <c r="S148" s="115"/>
      <c r="T148" s="115">
        <v>55</v>
      </c>
      <c r="U148" s="1145"/>
      <c r="V148" s="115"/>
      <c r="W148" s="115"/>
      <c r="X148" s="115"/>
      <c r="Y148" s="115"/>
      <c r="Z148" s="115">
        <f t="shared" si="1"/>
        <v>0</v>
      </c>
    </row>
    <row r="149" spans="1:26" x14ac:dyDescent="0.2">
      <c r="A149" s="2127">
        <v>149</v>
      </c>
      <c r="B149" s="1468" t="s">
        <v>73</v>
      </c>
      <c r="C149" s="12"/>
      <c r="D149" s="12"/>
      <c r="E149" s="12"/>
      <c r="F149" s="12"/>
      <c r="G149" s="12"/>
      <c r="H149" s="12"/>
      <c r="I149" s="12"/>
      <c r="J149" s="12"/>
      <c r="K149" s="12"/>
      <c r="L149" s="1141">
        <v>55</v>
      </c>
      <c r="M149" s="115"/>
      <c r="N149" s="115"/>
      <c r="O149" s="115"/>
      <c r="P149" s="1109">
        <f t="shared" si="0"/>
        <v>55</v>
      </c>
      <c r="Q149" s="115">
        <v>55</v>
      </c>
      <c r="R149" s="115"/>
      <c r="S149" s="115"/>
      <c r="T149" s="115">
        <v>55</v>
      </c>
      <c r="U149" s="1145"/>
      <c r="V149" s="115"/>
      <c r="W149" s="115"/>
      <c r="X149" s="115"/>
      <c r="Y149" s="115"/>
      <c r="Z149" s="115">
        <f t="shared" si="1"/>
        <v>0</v>
      </c>
    </row>
    <row r="150" spans="1:26" x14ac:dyDescent="0.2">
      <c r="A150" s="274">
        <v>150</v>
      </c>
      <c r="B150" s="1198" t="s">
        <v>867</v>
      </c>
      <c r="C150" s="12"/>
      <c r="D150" s="12"/>
      <c r="E150" s="12"/>
      <c r="F150" s="12"/>
      <c r="G150" s="12"/>
      <c r="H150" s="12"/>
      <c r="I150" s="12"/>
      <c r="J150" s="12"/>
      <c r="K150" s="12"/>
      <c r="L150" s="1142"/>
      <c r="M150" s="115"/>
      <c r="N150" s="115">
        <v>5</v>
      </c>
      <c r="O150" s="115"/>
      <c r="P150" s="1109">
        <f t="shared" si="0"/>
        <v>5</v>
      </c>
      <c r="Q150" s="115"/>
      <c r="R150" s="115"/>
      <c r="S150" s="115">
        <v>5</v>
      </c>
      <c r="T150" s="115">
        <v>5</v>
      </c>
      <c r="U150" s="1145"/>
      <c r="V150" s="115"/>
      <c r="W150" s="115"/>
      <c r="X150" s="115"/>
      <c r="Y150" s="115"/>
      <c r="Z150" s="115">
        <f t="shared" si="1"/>
        <v>0</v>
      </c>
    </row>
    <row r="151" spans="1:26" x14ac:dyDescent="0.2">
      <c r="A151" s="1682">
        <v>151</v>
      </c>
      <c r="B151" s="1468" t="s">
        <v>74</v>
      </c>
      <c r="C151" s="12"/>
      <c r="D151" s="12"/>
      <c r="E151" s="12"/>
      <c r="F151" s="12"/>
      <c r="G151" s="12"/>
      <c r="H151" s="12"/>
      <c r="I151" s="12"/>
      <c r="J151" s="12"/>
      <c r="K151" s="12"/>
      <c r="L151" s="1141">
        <v>55</v>
      </c>
      <c r="M151" s="115"/>
      <c r="N151" s="115"/>
      <c r="O151" s="115"/>
      <c r="P151" s="1109">
        <f t="shared" si="0"/>
        <v>55</v>
      </c>
      <c r="Q151" s="115">
        <v>55</v>
      </c>
      <c r="R151" s="115"/>
      <c r="S151" s="115"/>
      <c r="T151" s="115">
        <v>55</v>
      </c>
      <c r="U151" s="1145"/>
      <c r="V151" s="115"/>
      <c r="W151" s="115"/>
      <c r="X151" s="115"/>
      <c r="Y151" s="115"/>
      <c r="Z151" s="115">
        <f t="shared" si="1"/>
        <v>0</v>
      </c>
    </row>
    <row r="152" spans="1:26" x14ac:dyDescent="0.2">
      <c r="A152" s="2127">
        <v>152</v>
      </c>
      <c r="B152" s="1468" t="s">
        <v>76</v>
      </c>
      <c r="C152" s="12"/>
      <c r="D152" s="12"/>
      <c r="E152" s="12"/>
      <c r="F152" s="12"/>
      <c r="G152" s="12"/>
      <c r="H152" s="12"/>
      <c r="I152" s="12"/>
      <c r="J152" s="12"/>
      <c r="K152" s="12"/>
      <c r="L152" s="1141">
        <v>55</v>
      </c>
      <c r="M152" s="115"/>
      <c r="N152" s="115"/>
      <c r="O152" s="115"/>
      <c r="P152" s="1109">
        <f t="shared" si="0"/>
        <v>55</v>
      </c>
      <c r="Q152" s="115"/>
      <c r="R152" s="115"/>
      <c r="S152" s="115">
        <v>5</v>
      </c>
      <c r="T152" s="115">
        <v>5</v>
      </c>
      <c r="U152" s="1145"/>
      <c r="V152" s="115"/>
      <c r="W152" s="115"/>
      <c r="X152" s="115"/>
      <c r="Y152" s="115"/>
      <c r="Z152" s="115">
        <f t="shared" si="1"/>
        <v>0</v>
      </c>
    </row>
    <row r="153" spans="1:26" x14ac:dyDescent="0.2">
      <c r="A153" s="274">
        <v>153</v>
      </c>
      <c r="B153" s="1468" t="s">
        <v>77</v>
      </c>
      <c r="C153" s="12"/>
      <c r="D153" s="12"/>
      <c r="E153" s="12"/>
      <c r="F153" s="12"/>
      <c r="G153" s="12"/>
      <c r="H153" s="12"/>
      <c r="I153" s="12"/>
      <c r="J153" s="12"/>
      <c r="K153" s="12"/>
      <c r="L153" s="1141">
        <v>55</v>
      </c>
      <c r="M153" s="115"/>
      <c r="N153" s="115"/>
      <c r="O153" s="115"/>
      <c r="P153" s="1109">
        <f t="shared" si="0"/>
        <v>55</v>
      </c>
      <c r="Q153" s="115">
        <v>55</v>
      </c>
      <c r="R153" s="115"/>
      <c r="S153" s="115"/>
      <c r="T153" s="115">
        <v>55</v>
      </c>
      <c r="U153" s="1145"/>
      <c r="V153" s="115"/>
      <c r="W153" s="115"/>
      <c r="X153" s="115"/>
      <c r="Y153" s="115"/>
      <c r="Z153" s="115">
        <f t="shared" si="1"/>
        <v>0</v>
      </c>
    </row>
    <row r="154" spans="1:26" x14ac:dyDescent="0.2">
      <c r="A154" s="1682">
        <v>154</v>
      </c>
      <c r="B154" s="1468" t="s">
        <v>864</v>
      </c>
      <c r="C154" s="12"/>
      <c r="D154" s="12"/>
      <c r="E154" s="12"/>
      <c r="F154" s="12"/>
      <c r="G154" s="12"/>
      <c r="H154" s="12"/>
      <c r="I154" s="12"/>
      <c r="J154" s="12"/>
      <c r="K154" s="12"/>
      <c r="L154" s="1141">
        <v>55</v>
      </c>
      <c r="M154" s="115"/>
      <c r="N154" s="115"/>
      <c r="O154" s="115"/>
      <c r="P154" s="1109">
        <f t="shared" si="0"/>
        <v>55</v>
      </c>
      <c r="Q154" s="115">
        <v>55</v>
      </c>
      <c r="R154" s="115"/>
      <c r="S154" s="115"/>
      <c r="T154" s="115">
        <v>55</v>
      </c>
      <c r="U154" s="1145"/>
      <c r="V154" s="115"/>
      <c r="W154" s="115"/>
      <c r="X154" s="115"/>
      <c r="Y154" s="115"/>
      <c r="Z154" s="115">
        <f t="shared" si="1"/>
        <v>0</v>
      </c>
    </row>
    <row r="155" spans="1:26" x14ac:dyDescent="0.2">
      <c r="A155" s="2127">
        <v>155</v>
      </c>
      <c r="B155" s="1198" t="s">
        <v>1097</v>
      </c>
      <c r="C155" s="12"/>
      <c r="D155" s="12"/>
      <c r="E155" s="12"/>
      <c r="F155" s="12"/>
      <c r="G155" s="12"/>
      <c r="H155" s="12"/>
      <c r="I155" s="12"/>
      <c r="J155" s="12"/>
      <c r="K155" s="12"/>
      <c r="L155" s="1142"/>
      <c r="M155" s="115"/>
      <c r="N155" s="115">
        <v>5</v>
      </c>
      <c r="O155" s="115"/>
      <c r="P155" s="1109">
        <f t="shared" si="0"/>
        <v>5</v>
      </c>
      <c r="Q155" s="115"/>
      <c r="R155" s="115"/>
      <c r="S155" s="115">
        <v>5</v>
      </c>
      <c r="T155" s="115">
        <v>5</v>
      </c>
      <c r="U155" s="1145"/>
      <c r="V155" s="115"/>
      <c r="W155" s="115"/>
      <c r="X155" s="115"/>
      <c r="Y155" s="115"/>
      <c r="Z155" s="115">
        <f t="shared" si="1"/>
        <v>0</v>
      </c>
    </row>
    <row r="156" spans="1:26" x14ac:dyDescent="0.2">
      <c r="A156" s="274">
        <v>156</v>
      </c>
      <c r="B156" s="1468" t="s">
        <v>1098</v>
      </c>
      <c r="C156" s="12"/>
      <c r="D156" s="12"/>
      <c r="E156" s="12"/>
      <c r="F156" s="12"/>
      <c r="G156" s="12"/>
      <c r="H156" s="12"/>
      <c r="I156" s="12"/>
      <c r="J156" s="12"/>
      <c r="K156" s="12"/>
      <c r="L156" s="1141">
        <v>55</v>
      </c>
      <c r="M156" s="115"/>
      <c r="N156" s="115"/>
      <c r="O156" s="115"/>
      <c r="P156" s="1109">
        <f t="shared" si="0"/>
        <v>55</v>
      </c>
      <c r="Q156" s="115">
        <v>55</v>
      </c>
      <c r="R156" s="115"/>
      <c r="S156" s="115"/>
      <c r="T156" s="115">
        <v>55</v>
      </c>
      <c r="U156" s="1145"/>
      <c r="V156" s="115"/>
      <c r="W156" s="115"/>
      <c r="X156" s="115"/>
      <c r="Y156" s="115"/>
      <c r="Z156" s="115">
        <f t="shared" si="1"/>
        <v>0</v>
      </c>
    </row>
    <row r="157" spans="1:26" x14ac:dyDescent="0.2">
      <c r="A157" s="1682">
        <v>157</v>
      </c>
      <c r="B157" s="1468" t="s">
        <v>79</v>
      </c>
      <c r="C157" s="12"/>
      <c r="D157" s="12"/>
      <c r="E157" s="12"/>
      <c r="F157" s="12"/>
      <c r="G157" s="12"/>
      <c r="H157" s="12"/>
      <c r="I157" s="12"/>
      <c r="J157" s="12"/>
      <c r="K157" s="12"/>
      <c r="L157" s="1141">
        <v>55</v>
      </c>
      <c r="M157" s="115"/>
      <c r="N157" s="115"/>
      <c r="O157" s="115"/>
      <c r="P157" s="1109">
        <f t="shared" si="0"/>
        <v>55</v>
      </c>
      <c r="Q157" s="115">
        <v>55</v>
      </c>
      <c r="R157" s="115"/>
      <c r="S157" s="115"/>
      <c r="T157" s="115">
        <v>55</v>
      </c>
      <c r="U157" s="1145"/>
      <c r="V157" s="115"/>
      <c r="W157" s="115"/>
      <c r="X157" s="115"/>
      <c r="Y157" s="115"/>
      <c r="Z157" s="115">
        <f t="shared" si="1"/>
        <v>0</v>
      </c>
    </row>
    <row r="158" spans="1:26" x14ac:dyDescent="0.2">
      <c r="A158" s="2127">
        <v>158</v>
      </c>
      <c r="B158" s="1198" t="s">
        <v>80</v>
      </c>
      <c r="C158" s="12"/>
      <c r="D158" s="12"/>
      <c r="E158" s="12"/>
      <c r="F158" s="12"/>
      <c r="G158" s="12"/>
      <c r="H158" s="12"/>
      <c r="I158" s="12"/>
      <c r="J158" s="12"/>
      <c r="K158" s="12"/>
      <c r="L158" s="1142"/>
      <c r="M158" s="115"/>
      <c r="N158" s="115">
        <v>5</v>
      </c>
      <c r="O158" s="115"/>
      <c r="P158" s="1109">
        <f t="shared" si="0"/>
        <v>5</v>
      </c>
      <c r="Q158" s="115"/>
      <c r="R158" s="115"/>
      <c r="S158" s="115">
        <v>5</v>
      </c>
      <c r="T158" s="115">
        <v>5</v>
      </c>
      <c r="U158" s="1145"/>
      <c r="V158" s="115"/>
      <c r="W158" s="115"/>
      <c r="X158" s="115"/>
      <c r="Y158" s="115"/>
      <c r="Z158" s="115">
        <f t="shared" si="1"/>
        <v>0</v>
      </c>
    </row>
    <row r="159" spans="1:26" x14ac:dyDescent="0.2">
      <c r="A159" s="274">
        <v>159</v>
      </c>
      <c r="B159" s="1468" t="s">
        <v>81</v>
      </c>
      <c r="C159" s="12"/>
      <c r="D159" s="12"/>
      <c r="E159" s="12"/>
      <c r="F159" s="12"/>
      <c r="G159" s="12"/>
      <c r="H159" s="12"/>
      <c r="I159" s="12"/>
      <c r="J159" s="12"/>
      <c r="K159" s="12"/>
      <c r="L159" s="1141">
        <v>55</v>
      </c>
      <c r="M159" s="115"/>
      <c r="N159" s="115"/>
      <c r="O159" s="115"/>
      <c r="P159" s="1109">
        <f t="shared" si="0"/>
        <v>55</v>
      </c>
      <c r="Q159" s="115">
        <v>55</v>
      </c>
      <c r="R159" s="115"/>
      <c r="S159" s="115"/>
      <c r="T159" s="115">
        <v>55</v>
      </c>
      <c r="U159" s="1145"/>
      <c r="V159" s="115"/>
      <c r="W159" s="115"/>
      <c r="X159" s="115"/>
      <c r="Y159" s="115"/>
      <c r="Z159" s="115">
        <f t="shared" si="1"/>
        <v>0</v>
      </c>
    </row>
    <row r="160" spans="1:26" x14ac:dyDescent="0.2">
      <c r="A160" s="1682">
        <v>160</v>
      </c>
      <c r="B160" s="1468" t="s">
        <v>658</v>
      </c>
      <c r="C160" s="12"/>
      <c r="D160" s="12"/>
      <c r="E160" s="12"/>
      <c r="F160" s="12"/>
      <c r="G160" s="12"/>
      <c r="H160" s="12"/>
      <c r="I160" s="12"/>
      <c r="J160" s="12"/>
      <c r="K160" s="12"/>
      <c r="L160" s="1141">
        <v>55</v>
      </c>
      <c r="M160" s="115"/>
      <c r="N160" s="115"/>
      <c r="O160" s="115"/>
      <c r="P160" s="1109">
        <f t="shared" si="0"/>
        <v>55</v>
      </c>
      <c r="Q160" s="115">
        <v>55</v>
      </c>
      <c r="R160" s="115"/>
      <c r="S160" s="115"/>
      <c r="T160" s="115">
        <v>55</v>
      </c>
      <c r="U160" s="1145"/>
      <c r="V160" s="115"/>
      <c r="W160" s="115"/>
      <c r="X160" s="115"/>
      <c r="Y160" s="115"/>
      <c r="Z160" s="115">
        <f t="shared" si="1"/>
        <v>0</v>
      </c>
    </row>
    <row r="161" spans="1:26" x14ac:dyDescent="0.2">
      <c r="A161" s="2127">
        <v>161</v>
      </c>
      <c r="B161" s="1198" t="s">
        <v>536</v>
      </c>
      <c r="C161" s="12"/>
      <c r="D161" s="12"/>
      <c r="E161" s="12"/>
      <c r="F161" s="12"/>
      <c r="G161" s="12"/>
      <c r="H161" s="12"/>
      <c r="I161" s="12"/>
      <c r="J161" s="12"/>
      <c r="K161" s="12"/>
      <c r="L161" s="1142"/>
      <c r="M161" s="115"/>
      <c r="N161" s="115">
        <v>5</v>
      </c>
      <c r="O161" s="115"/>
      <c r="P161" s="1109">
        <f t="shared" si="0"/>
        <v>5</v>
      </c>
      <c r="Q161" s="115"/>
      <c r="R161" s="115"/>
      <c r="S161" s="115">
        <v>5</v>
      </c>
      <c r="T161" s="115">
        <v>5</v>
      </c>
      <c r="U161" s="1145"/>
      <c r="V161" s="115"/>
      <c r="W161" s="115"/>
      <c r="X161" s="115"/>
      <c r="Y161" s="115"/>
      <c r="Z161" s="115">
        <f t="shared" si="1"/>
        <v>0</v>
      </c>
    </row>
    <row r="162" spans="1:26" x14ac:dyDescent="0.2">
      <c r="A162" s="274">
        <v>162</v>
      </c>
      <c r="B162" s="1468" t="s">
        <v>82</v>
      </c>
      <c r="C162" s="12"/>
      <c r="D162" s="12"/>
      <c r="E162" s="12"/>
      <c r="F162" s="12"/>
      <c r="G162" s="12"/>
      <c r="H162" s="12"/>
      <c r="I162" s="12"/>
      <c r="J162" s="12"/>
      <c r="K162" s="12"/>
      <c r="L162" s="1141">
        <v>55</v>
      </c>
      <c r="M162" s="115"/>
      <c r="N162" s="115"/>
      <c r="O162" s="115"/>
      <c r="P162" s="1109">
        <f t="shared" si="0"/>
        <v>55</v>
      </c>
      <c r="Q162" s="115">
        <v>55</v>
      </c>
      <c r="R162" s="115"/>
      <c r="S162" s="115"/>
      <c r="T162" s="115">
        <v>55</v>
      </c>
      <c r="U162" s="1145"/>
      <c r="V162" s="115"/>
      <c r="W162" s="115"/>
      <c r="X162" s="115"/>
      <c r="Y162" s="115"/>
      <c r="Z162" s="115">
        <f t="shared" si="1"/>
        <v>0</v>
      </c>
    </row>
    <row r="163" spans="1:26" x14ac:dyDescent="0.2">
      <c r="A163" s="1682">
        <v>163</v>
      </c>
      <c r="B163" s="1468" t="s">
        <v>83</v>
      </c>
      <c r="C163" s="12"/>
      <c r="D163" s="12"/>
      <c r="E163" s="12"/>
      <c r="F163" s="12"/>
      <c r="G163" s="12"/>
      <c r="H163" s="12"/>
      <c r="I163" s="12"/>
      <c r="J163" s="12"/>
      <c r="K163" s="12"/>
      <c r="L163" s="1141">
        <v>55</v>
      </c>
      <c r="M163" s="115"/>
      <c r="N163" s="115"/>
      <c r="O163" s="115"/>
      <c r="P163" s="1109">
        <f t="shared" si="0"/>
        <v>55</v>
      </c>
      <c r="Q163" s="115">
        <v>55</v>
      </c>
      <c r="R163" s="115"/>
      <c r="S163" s="115"/>
      <c r="T163" s="115">
        <v>55</v>
      </c>
      <c r="U163" s="1145"/>
      <c r="V163" s="115"/>
      <c r="W163" s="115"/>
      <c r="X163" s="115"/>
      <c r="Y163" s="115"/>
      <c r="Z163" s="115">
        <f t="shared" si="1"/>
        <v>0</v>
      </c>
    </row>
    <row r="164" spans="1:26" x14ac:dyDescent="0.2">
      <c r="A164" s="2127">
        <v>164</v>
      </c>
      <c r="B164" s="1468" t="s">
        <v>84</v>
      </c>
      <c r="C164" s="12"/>
      <c r="D164" s="12"/>
      <c r="E164" s="12"/>
      <c r="F164" s="12"/>
      <c r="G164" s="12"/>
      <c r="H164" s="12"/>
      <c r="I164" s="12"/>
      <c r="J164" s="12"/>
      <c r="K164" s="12"/>
      <c r="L164" s="1141">
        <v>55</v>
      </c>
      <c r="M164" s="115"/>
      <c r="N164" s="115"/>
      <c r="O164" s="115"/>
      <c r="P164" s="1109">
        <f t="shared" si="0"/>
        <v>55</v>
      </c>
      <c r="Q164" s="115">
        <v>55</v>
      </c>
      <c r="R164" s="115"/>
      <c r="S164" s="115"/>
      <c r="T164" s="115">
        <v>55</v>
      </c>
      <c r="U164" s="1145"/>
      <c r="V164" s="115"/>
      <c r="W164" s="115"/>
      <c r="X164" s="115"/>
      <c r="Y164" s="115"/>
      <c r="Z164" s="115">
        <f t="shared" si="1"/>
        <v>0</v>
      </c>
    </row>
    <row r="165" spans="1:26" x14ac:dyDescent="0.2">
      <c r="A165" s="274">
        <v>165</v>
      </c>
      <c r="B165" s="1469" t="s">
        <v>1008</v>
      </c>
      <c r="C165" s="12"/>
      <c r="D165" s="12"/>
      <c r="E165" s="12"/>
      <c r="F165" s="12"/>
      <c r="G165" s="12"/>
      <c r="H165" s="12"/>
      <c r="I165" s="12"/>
      <c r="J165" s="12"/>
      <c r="K165" s="12"/>
      <c r="L165" s="1141">
        <v>55</v>
      </c>
      <c r="M165" s="115"/>
      <c r="N165" s="115"/>
      <c r="O165" s="115"/>
      <c r="P165" s="1109">
        <f t="shared" si="0"/>
        <v>55</v>
      </c>
      <c r="Q165" s="115"/>
      <c r="R165" s="115"/>
      <c r="S165" s="115"/>
      <c r="T165" s="115"/>
      <c r="U165" s="1145"/>
      <c r="V165" s="115"/>
      <c r="W165" s="115"/>
      <c r="X165" s="115"/>
      <c r="Y165" s="115"/>
      <c r="Z165" s="115">
        <f t="shared" si="1"/>
        <v>0</v>
      </c>
    </row>
    <row r="166" spans="1:26" x14ac:dyDescent="0.2">
      <c r="A166" s="1682">
        <v>166</v>
      </c>
      <c r="B166" s="1469" t="s">
        <v>1009</v>
      </c>
      <c r="C166" s="12"/>
      <c r="D166" s="12"/>
      <c r="E166" s="12"/>
      <c r="F166" s="12"/>
      <c r="G166" s="12"/>
      <c r="H166" s="12"/>
      <c r="I166" s="12"/>
      <c r="J166" s="12"/>
      <c r="K166" s="12"/>
      <c r="L166" s="1141">
        <v>55</v>
      </c>
      <c r="M166" s="115"/>
      <c r="N166" s="115"/>
      <c r="O166" s="115"/>
      <c r="P166" s="1109">
        <f t="shared" si="0"/>
        <v>55</v>
      </c>
      <c r="Q166" s="115"/>
      <c r="R166" s="115"/>
      <c r="S166" s="115"/>
      <c r="T166" s="115"/>
      <c r="U166" s="1145"/>
      <c r="V166" s="115"/>
      <c r="W166" s="115"/>
      <c r="X166" s="115"/>
      <c r="Y166" s="115"/>
      <c r="Z166" s="115">
        <f t="shared" si="1"/>
        <v>0</v>
      </c>
    </row>
    <row r="167" spans="1:26" x14ac:dyDescent="0.2">
      <c r="A167" s="2127">
        <v>167</v>
      </c>
      <c r="B167" s="1469" t="s">
        <v>915</v>
      </c>
      <c r="C167" s="12"/>
      <c r="D167" s="12"/>
      <c r="E167" s="12"/>
      <c r="F167" s="12"/>
      <c r="G167" s="12"/>
      <c r="H167" s="12"/>
      <c r="I167" s="12"/>
      <c r="J167" s="12"/>
      <c r="K167" s="12"/>
      <c r="L167" s="1141">
        <v>55</v>
      </c>
      <c r="M167" s="115"/>
      <c r="N167" s="115"/>
      <c r="O167" s="115"/>
      <c r="P167" s="1109">
        <f t="shared" si="0"/>
        <v>55</v>
      </c>
      <c r="Q167" s="115"/>
      <c r="R167" s="115"/>
      <c r="S167" s="115"/>
      <c r="T167" s="115"/>
      <c r="U167" s="1145"/>
      <c r="V167" s="115"/>
      <c r="W167" s="115"/>
      <c r="X167" s="115"/>
      <c r="Y167" s="115"/>
      <c r="Z167" s="115">
        <f t="shared" si="1"/>
        <v>0</v>
      </c>
    </row>
    <row r="168" spans="1:26" x14ac:dyDescent="0.2">
      <c r="A168" s="274">
        <v>168</v>
      </c>
      <c r="B168" s="1469" t="s">
        <v>907</v>
      </c>
      <c r="C168" s="12"/>
      <c r="D168" s="12"/>
      <c r="E168" s="12"/>
      <c r="F168" s="12"/>
      <c r="G168" s="12"/>
      <c r="H168" s="12"/>
      <c r="I168" s="12"/>
      <c r="J168" s="12"/>
      <c r="K168" s="12"/>
      <c r="L168" s="1141">
        <v>55</v>
      </c>
      <c r="M168" s="115"/>
      <c r="N168" s="115"/>
      <c r="O168" s="115"/>
      <c r="P168" s="1109">
        <f t="shared" si="0"/>
        <v>55</v>
      </c>
      <c r="Q168" s="115"/>
      <c r="R168" s="115"/>
      <c r="S168" s="115"/>
      <c r="T168" s="115"/>
      <c r="U168" s="1145"/>
      <c r="V168" s="115"/>
      <c r="W168" s="115"/>
      <c r="X168" s="115"/>
      <c r="Y168" s="115"/>
      <c r="Z168" s="115">
        <f t="shared" si="1"/>
        <v>0</v>
      </c>
    </row>
    <row r="169" spans="1:26" x14ac:dyDescent="0.2">
      <c r="A169" s="1682">
        <v>169</v>
      </c>
      <c r="B169" s="1468" t="s">
        <v>86</v>
      </c>
      <c r="C169" s="12"/>
      <c r="D169" s="12"/>
      <c r="E169" s="12"/>
      <c r="F169" s="12"/>
      <c r="G169" s="12"/>
      <c r="H169" s="12"/>
      <c r="I169" s="12"/>
      <c r="J169" s="12"/>
      <c r="K169" s="12"/>
      <c r="L169" s="1141">
        <v>55</v>
      </c>
      <c r="M169" s="115"/>
      <c r="N169" s="115"/>
      <c r="O169" s="115"/>
      <c r="P169" s="1109">
        <f t="shared" si="0"/>
        <v>55</v>
      </c>
      <c r="Q169" s="115">
        <v>55</v>
      </c>
      <c r="R169" s="115"/>
      <c r="S169" s="115"/>
      <c r="T169" s="115">
        <v>55</v>
      </c>
      <c r="U169" s="1145"/>
      <c r="V169" s="115"/>
      <c r="W169" s="115"/>
      <c r="X169" s="115"/>
      <c r="Y169" s="115"/>
      <c r="Z169" s="115">
        <f t="shared" si="1"/>
        <v>0</v>
      </c>
    </row>
    <row r="170" spans="1:26" x14ac:dyDescent="0.2">
      <c r="A170" s="2127">
        <v>170</v>
      </c>
      <c r="B170" s="1198" t="s">
        <v>87</v>
      </c>
      <c r="C170" s="12"/>
      <c r="D170" s="12"/>
      <c r="E170" s="12"/>
      <c r="F170" s="12"/>
      <c r="G170" s="12"/>
      <c r="H170" s="12"/>
      <c r="I170" s="12"/>
      <c r="J170" s="12"/>
      <c r="K170" s="12"/>
      <c r="L170" s="1142"/>
      <c r="M170" s="115"/>
      <c r="N170" s="115">
        <v>5</v>
      </c>
      <c r="O170" s="115"/>
      <c r="P170" s="1109">
        <f t="shared" si="0"/>
        <v>5</v>
      </c>
      <c r="Q170" s="115"/>
      <c r="R170" s="115"/>
      <c r="S170" s="115">
        <v>5</v>
      </c>
      <c r="T170" s="115">
        <v>5</v>
      </c>
      <c r="U170" s="1145"/>
      <c r="V170" s="115"/>
      <c r="W170" s="115"/>
      <c r="X170" s="115"/>
      <c r="Y170" s="115"/>
      <c r="Z170" s="115">
        <f t="shared" si="1"/>
        <v>0</v>
      </c>
    </row>
    <row r="171" spans="1:26" x14ac:dyDescent="0.2">
      <c r="A171" s="274">
        <v>171</v>
      </c>
      <c r="B171" s="1198" t="s">
        <v>88</v>
      </c>
      <c r="C171" s="12"/>
      <c r="D171" s="12"/>
      <c r="E171" s="12"/>
      <c r="F171" s="12"/>
      <c r="G171" s="12"/>
      <c r="H171" s="12"/>
      <c r="I171" s="12"/>
      <c r="J171" s="12"/>
      <c r="K171" s="12"/>
      <c r="L171" s="1142"/>
      <c r="M171" s="115"/>
      <c r="N171" s="115">
        <v>5</v>
      </c>
      <c r="O171" s="115"/>
      <c r="P171" s="1109">
        <f t="shared" si="0"/>
        <v>5</v>
      </c>
      <c r="Q171" s="115"/>
      <c r="R171" s="115"/>
      <c r="S171" s="115">
        <v>5</v>
      </c>
      <c r="T171" s="115">
        <v>5</v>
      </c>
      <c r="U171" s="1145"/>
      <c r="V171" s="115"/>
      <c r="W171" s="115"/>
      <c r="X171" s="115"/>
      <c r="Y171" s="115"/>
      <c r="Z171" s="115">
        <f t="shared" si="1"/>
        <v>0</v>
      </c>
    </row>
    <row r="172" spans="1:26" x14ac:dyDescent="0.2">
      <c r="A172" s="1682">
        <v>172</v>
      </c>
      <c r="B172" s="1198" t="s">
        <v>89</v>
      </c>
      <c r="C172" s="12"/>
      <c r="D172" s="12"/>
      <c r="E172" s="12"/>
      <c r="F172" s="12"/>
      <c r="G172" s="12"/>
      <c r="H172" s="12"/>
      <c r="I172" s="12"/>
      <c r="J172" s="12"/>
      <c r="K172" s="12"/>
      <c r="L172" s="1142"/>
      <c r="M172" s="115"/>
      <c r="N172" s="115">
        <v>5</v>
      </c>
      <c r="O172" s="115"/>
      <c r="P172" s="1109">
        <f t="shared" si="0"/>
        <v>5</v>
      </c>
      <c r="Q172" s="115"/>
      <c r="R172" s="115"/>
      <c r="S172" s="115">
        <v>5</v>
      </c>
      <c r="T172" s="115">
        <v>5</v>
      </c>
      <c r="U172" s="1145"/>
      <c r="V172" s="115"/>
      <c r="W172" s="115"/>
      <c r="X172" s="115"/>
      <c r="Y172" s="115"/>
      <c r="Z172" s="115">
        <f t="shared" si="1"/>
        <v>0</v>
      </c>
    </row>
    <row r="173" spans="1:26" x14ac:dyDescent="0.2">
      <c r="A173" s="2127">
        <v>173</v>
      </c>
      <c r="B173" s="1198" t="s">
        <v>908</v>
      </c>
      <c r="C173" s="12"/>
      <c r="D173" s="12"/>
      <c r="E173" s="12"/>
      <c r="F173" s="12"/>
      <c r="G173" s="12"/>
      <c r="H173" s="12"/>
      <c r="I173" s="12"/>
      <c r="J173" s="12"/>
      <c r="K173" s="12"/>
      <c r="L173" s="1142"/>
      <c r="M173" s="115"/>
      <c r="N173" s="115">
        <v>5</v>
      </c>
      <c r="O173" s="115"/>
      <c r="P173" s="1109">
        <f t="shared" si="0"/>
        <v>5</v>
      </c>
      <c r="Q173" s="115"/>
      <c r="R173" s="115"/>
      <c r="S173" s="115">
        <v>5</v>
      </c>
      <c r="T173" s="115">
        <v>5</v>
      </c>
      <c r="U173" s="1145"/>
      <c r="V173" s="115"/>
      <c r="W173" s="115"/>
      <c r="X173" s="115"/>
      <c r="Y173" s="115"/>
      <c r="Z173" s="115">
        <f t="shared" si="1"/>
        <v>0</v>
      </c>
    </row>
    <row r="174" spans="1:26" x14ac:dyDescent="0.2">
      <c r="A174" s="274">
        <v>174</v>
      </c>
      <c r="B174" s="1198" t="s">
        <v>1099</v>
      </c>
      <c r="C174" s="12"/>
      <c r="D174" s="12"/>
      <c r="E174" s="12"/>
      <c r="F174" s="12"/>
      <c r="G174" s="12"/>
      <c r="H174" s="12"/>
      <c r="I174" s="12"/>
      <c r="J174" s="12"/>
      <c r="K174" s="12"/>
      <c r="L174" s="1142"/>
      <c r="M174" s="115"/>
      <c r="N174" s="115">
        <v>5</v>
      </c>
      <c r="O174" s="115"/>
      <c r="P174" s="1109">
        <f t="shared" si="0"/>
        <v>5</v>
      </c>
      <c r="Q174" s="115"/>
      <c r="R174" s="115"/>
      <c r="S174" s="115">
        <v>5</v>
      </c>
      <c r="T174" s="115">
        <v>5</v>
      </c>
      <c r="U174" s="1145"/>
      <c r="V174" s="115"/>
      <c r="W174" s="115"/>
      <c r="X174" s="115"/>
      <c r="Y174" s="115"/>
      <c r="Z174" s="115">
        <f t="shared" si="1"/>
        <v>0</v>
      </c>
    </row>
    <row r="175" spans="1:26" x14ac:dyDescent="0.2">
      <c r="A175" s="1682">
        <v>175</v>
      </c>
      <c r="B175" s="1468" t="s">
        <v>91</v>
      </c>
      <c r="C175" s="12"/>
      <c r="D175" s="12"/>
      <c r="E175" s="12"/>
      <c r="F175" s="12"/>
      <c r="G175" s="12"/>
      <c r="H175" s="12"/>
      <c r="I175" s="12"/>
      <c r="J175" s="12"/>
      <c r="K175" s="12"/>
      <c r="L175" s="1141">
        <v>55</v>
      </c>
      <c r="M175" s="115"/>
      <c r="N175" s="115"/>
      <c r="O175" s="115"/>
      <c r="P175" s="1109">
        <f t="shared" si="0"/>
        <v>55</v>
      </c>
      <c r="Q175" s="115">
        <v>55</v>
      </c>
      <c r="R175" s="115"/>
      <c r="S175" s="115"/>
      <c r="T175" s="115">
        <v>55</v>
      </c>
      <c r="U175" s="1145"/>
      <c r="V175" s="115"/>
      <c r="W175" s="115"/>
      <c r="X175" s="115"/>
      <c r="Y175" s="115"/>
      <c r="Z175" s="115">
        <f t="shared" si="1"/>
        <v>0</v>
      </c>
    </row>
    <row r="176" spans="1:26" x14ac:dyDescent="0.2">
      <c r="A176" s="2127">
        <v>176</v>
      </c>
      <c r="B176" s="1198" t="s">
        <v>93</v>
      </c>
      <c r="C176" s="12"/>
      <c r="D176" s="12"/>
      <c r="E176" s="12"/>
      <c r="F176" s="12"/>
      <c r="G176" s="12"/>
      <c r="H176" s="12"/>
      <c r="I176" s="12"/>
      <c r="J176" s="12"/>
      <c r="K176" s="12"/>
      <c r="L176" s="1142"/>
      <c r="M176" s="115"/>
      <c r="N176" s="115">
        <v>5</v>
      </c>
      <c r="O176" s="115"/>
      <c r="P176" s="1109">
        <f t="shared" si="0"/>
        <v>5</v>
      </c>
      <c r="Q176" s="115"/>
      <c r="R176" s="115"/>
      <c r="S176" s="115">
        <v>5</v>
      </c>
      <c r="T176" s="115">
        <v>5</v>
      </c>
      <c r="U176" s="1145"/>
      <c r="V176" s="115"/>
      <c r="W176" s="115"/>
      <c r="X176" s="115"/>
      <c r="Y176" s="115"/>
      <c r="Z176" s="115">
        <f t="shared" si="1"/>
        <v>0</v>
      </c>
    </row>
    <row r="177" spans="1:26" x14ac:dyDescent="0.2">
      <c r="A177" s="274">
        <v>177</v>
      </c>
      <c r="B177" s="1199" t="s">
        <v>1010</v>
      </c>
      <c r="C177" s="12"/>
      <c r="D177" s="12"/>
      <c r="E177" s="12"/>
      <c r="F177" s="12"/>
      <c r="G177" s="12"/>
      <c r="H177" s="12"/>
      <c r="I177" s="12"/>
      <c r="J177" s="12"/>
      <c r="K177" s="12"/>
      <c r="L177" s="1142"/>
      <c r="M177" s="115"/>
      <c r="N177" s="115">
        <v>5</v>
      </c>
      <c r="O177" s="115"/>
      <c r="P177" s="1109">
        <f t="shared" si="0"/>
        <v>5</v>
      </c>
      <c r="Q177" s="115"/>
      <c r="R177" s="115"/>
      <c r="S177" s="115"/>
      <c r="T177" s="115"/>
      <c r="U177" s="1145"/>
      <c r="V177" s="115"/>
      <c r="W177" s="115"/>
      <c r="X177" s="115"/>
      <c r="Y177" s="115"/>
      <c r="Z177" s="115">
        <f t="shared" si="1"/>
        <v>0</v>
      </c>
    </row>
    <row r="178" spans="1:26" x14ac:dyDescent="0.2">
      <c r="A178" s="1682">
        <v>178</v>
      </c>
      <c r="B178" s="1468" t="s">
        <v>94</v>
      </c>
      <c r="C178" s="12"/>
      <c r="D178" s="12"/>
      <c r="E178" s="12"/>
      <c r="F178" s="12"/>
      <c r="G178" s="12"/>
      <c r="H178" s="12"/>
      <c r="I178" s="12"/>
      <c r="J178" s="12"/>
      <c r="K178" s="12"/>
      <c r="L178" s="1141">
        <v>55</v>
      </c>
      <c r="M178" s="115"/>
      <c r="N178" s="115"/>
      <c r="O178" s="115"/>
      <c r="P178" s="1109">
        <f t="shared" si="0"/>
        <v>55</v>
      </c>
      <c r="Q178" s="115">
        <v>55</v>
      </c>
      <c r="R178" s="115"/>
      <c r="S178" s="115"/>
      <c r="T178" s="115">
        <v>55</v>
      </c>
      <c r="U178" s="1145"/>
      <c r="V178" s="115"/>
      <c r="W178" s="115"/>
      <c r="X178" s="115"/>
      <c r="Y178" s="115"/>
      <c r="Z178" s="115">
        <f t="shared" si="1"/>
        <v>0</v>
      </c>
    </row>
    <row r="179" spans="1:26" x14ac:dyDescent="0.2">
      <c r="A179" s="2127">
        <v>179</v>
      </c>
      <c r="B179" s="1468" t="s">
        <v>96</v>
      </c>
      <c r="C179" s="12"/>
      <c r="D179" s="12"/>
      <c r="E179" s="12"/>
      <c r="F179" s="12"/>
      <c r="G179" s="12"/>
      <c r="H179" s="12"/>
      <c r="I179" s="12"/>
      <c r="J179" s="12"/>
      <c r="K179" s="12"/>
      <c r="L179" s="1141">
        <v>55</v>
      </c>
      <c r="M179" s="115"/>
      <c r="N179" s="115"/>
      <c r="O179" s="115"/>
      <c r="P179" s="1109">
        <f t="shared" si="0"/>
        <v>55</v>
      </c>
      <c r="Q179" s="115">
        <v>55</v>
      </c>
      <c r="R179" s="115"/>
      <c r="S179" s="115"/>
      <c r="T179" s="115">
        <v>55</v>
      </c>
      <c r="U179" s="1145"/>
      <c r="V179" s="115"/>
      <c r="W179" s="115"/>
      <c r="X179" s="115"/>
      <c r="Y179" s="115"/>
      <c r="Z179" s="115">
        <f t="shared" si="1"/>
        <v>0</v>
      </c>
    </row>
    <row r="180" spans="1:26" x14ac:dyDescent="0.2">
      <c r="A180" s="274">
        <v>180</v>
      </c>
      <c r="B180" s="1468" t="s">
        <v>97</v>
      </c>
      <c r="C180" s="12"/>
      <c r="D180" s="12"/>
      <c r="E180" s="12"/>
      <c r="F180" s="12"/>
      <c r="G180" s="12"/>
      <c r="H180" s="12"/>
      <c r="I180" s="12"/>
      <c r="J180" s="12"/>
      <c r="K180" s="12"/>
      <c r="L180" s="1141">
        <v>55</v>
      </c>
      <c r="M180" s="115"/>
      <c r="N180" s="115"/>
      <c r="O180" s="115"/>
      <c r="P180" s="1109">
        <f t="shared" si="0"/>
        <v>55</v>
      </c>
      <c r="Q180" s="115">
        <v>55</v>
      </c>
      <c r="R180" s="115"/>
      <c r="S180" s="115"/>
      <c r="T180" s="115">
        <v>55</v>
      </c>
      <c r="U180" s="1145"/>
      <c r="V180" s="115"/>
      <c r="W180" s="115"/>
      <c r="X180" s="115"/>
      <c r="Y180" s="115"/>
      <c r="Z180" s="115">
        <f t="shared" si="1"/>
        <v>0</v>
      </c>
    </row>
    <row r="181" spans="1:26" x14ac:dyDescent="0.2">
      <c r="A181" s="1682">
        <v>181</v>
      </c>
      <c r="B181" s="1469" t="s">
        <v>98</v>
      </c>
      <c r="C181" s="12"/>
      <c r="D181" s="12"/>
      <c r="E181" s="12"/>
      <c r="F181" s="12"/>
      <c r="G181" s="12"/>
      <c r="H181" s="12"/>
      <c r="I181" s="12"/>
      <c r="J181" s="12"/>
      <c r="K181" s="12"/>
      <c r="L181" s="1141">
        <v>55</v>
      </c>
      <c r="M181" s="115"/>
      <c r="N181" s="115"/>
      <c r="O181" s="115"/>
      <c r="P181" s="1109">
        <f t="shared" si="0"/>
        <v>55</v>
      </c>
      <c r="Q181" s="115"/>
      <c r="R181" s="115"/>
      <c r="S181" s="115"/>
      <c r="T181" s="115"/>
      <c r="U181" s="1145"/>
      <c r="V181" s="115"/>
      <c r="W181" s="115"/>
      <c r="X181" s="115"/>
      <c r="Y181" s="115"/>
      <c r="Z181" s="115">
        <f t="shared" si="1"/>
        <v>0</v>
      </c>
    </row>
    <row r="182" spans="1:26" x14ac:dyDescent="0.2">
      <c r="A182" s="2127">
        <v>182</v>
      </c>
      <c r="B182" s="1468" t="s">
        <v>100</v>
      </c>
      <c r="C182" s="12"/>
      <c r="D182" s="12"/>
      <c r="E182" s="12"/>
      <c r="F182" s="12"/>
      <c r="G182" s="12"/>
      <c r="H182" s="12"/>
      <c r="I182" s="12"/>
      <c r="J182" s="12"/>
      <c r="K182" s="12"/>
      <c r="L182" s="1141">
        <v>55</v>
      </c>
      <c r="M182" s="115"/>
      <c r="N182" s="115"/>
      <c r="O182" s="115"/>
      <c r="P182" s="1109">
        <f t="shared" si="0"/>
        <v>55</v>
      </c>
      <c r="Q182" s="115">
        <v>55</v>
      </c>
      <c r="R182" s="115"/>
      <c r="S182" s="115"/>
      <c r="T182" s="115">
        <v>55</v>
      </c>
      <c r="U182" s="1145"/>
      <c r="V182" s="115"/>
      <c r="W182" s="115"/>
      <c r="X182" s="115"/>
      <c r="Y182" s="115"/>
      <c r="Z182" s="115">
        <f t="shared" si="1"/>
        <v>0</v>
      </c>
    </row>
    <row r="183" spans="1:26" x14ac:dyDescent="0.2">
      <c r="A183" s="274">
        <v>183</v>
      </c>
      <c r="B183" s="1468" t="s">
        <v>101</v>
      </c>
      <c r="C183" s="12"/>
      <c r="D183" s="12"/>
      <c r="E183" s="12"/>
      <c r="F183" s="12"/>
      <c r="G183" s="12"/>
      <c r="H183" s="12"/>
      <c r="I183" s="12"/>
      <c r="J183" s="12"/>
      <c r="K183" s="12"/>
      <c r="L183" s="1141">
        <v>55</v>
      </c>
      <c r="M183" s="115"/>
      <c r="N183" s="115"/>
      <c r="O183" s="115"/>
      <c r="P183" s="1109">
        <f t="shared" si="0"/>
        <v>55</v>
      </c>
      <c r="Q183" s="115">
        <v>55</v>
      </c>
      <c r="R183" s="115"/>
      <c r="S183" s="115"/>
      <c r="T183" s="115">
        <v>55</v>
      </c>
      <c r="U183" s="1145"/>
      <c r="V183" s="115"/>
      <c r="W183" s="115"/>
      <c r="X183" s="115"/>
      <c r="Y183" s="115"/>
      <c r="Z183" s="115">
        <f t="shared" si="1"/>
        <v>0</v>
      </c>
    </row>
    <row r="184" spans="1:26" x14ac:dyDescent="0.2">
      <c r="A184" s="1682">
        <v>184</v>
      </c>
      <c r="B184" s="1468" t="s">
        <v>102</v>
      </c>
      <c r="C184" s="12"/>
      <c r="D184" s="12"/>
      <c r="E184" s="12"/>
      <c r="F184" s="12"/>
      <c r="G184" s="12"/>
      <c r="H184" s="12"/>
      <c r="I184" s="12"/>
      <c r="J184" s="12"/>
      <c r="K184" s="12"/>
      <c r="L184" s="1141">
        <v>55</v>
      </c>
      <c r="M184" s="115"/>
      <c r="N184" s="115"/>
      <c r="O184" s="115"/>
      <c r="P184" s="1109">
        <f t="shared" si="0"/>
        <v>55</v>
      </c>
      <c r="Q184" s="115">
        <v>55</v>
      </c>
      <c r="R184" s="115"/>
      <c r="S184" s="115"/>
      <c r="T184" s="115">
        <v>55</v>
      </c>
      <c r="U184" s="1145"/>
      <c r="V184" s="115"/>
      <c r="W184" s="115"/>
      <c r="X184" s="115"/>
      <c r="Y184" s="115"/>
      <c r="Z184" s="115">
        <f t="shared" si="1"/>
        <v>0</v>
      </c>
    </row>
    <row r="185" spans="1:26" x14ac:dyDescent="0.2">
      <c r="A185" s="2127">
        <v>185</v>
      </c>
      <c r="B185" s="1468" t="s">
        <v>103</v>
      </c>
      <c r="C185" s="12"/>
      <c r="D185" s="12"/>
      <c r="E185" s="12"/>
      <c r="F185" s="12"/>
      <c r="G185" s="12"/>
      <c r="H185" s="12"/>
      <c r="I185" s="12"/>
      <c r="J185" s="12"/>
      <c r="K185" s="12"/>
      <c r="L185" s="1141">
        <v>55</v>
      </c>
      <c r="M185" s="115"/>
      <c r="N185" s="115"/>
      <c r="O185" s="115"/>
      <c r="P185" s="1109">
        <f t="shared" si="0"/>
        <v>55</v>
      </c>
      <c r="Q185" s="115">
        <v>55</v>
      </c>
      <c r="R185" s="115"/>
      <c r="S185" s="115"/>
      <c r="T185" s="115">
        <v>55</v>
      </c>
      <c r="U185" s="1145"/>
      <c r="V185" s="115"/>
      <c r="W185" s="115"/>
      <c r="X185" s="115"/>
      <c r="Y185" s="115"/>
      <c r="Z185" s="115">
        <f t="shared" si="1"/>
        <v>0</v>
      </c>
    </row>
    <row r="186" spans="1:26" x14ac:dyDescent="0.2">
      <c r="A186" s="274">
        <v>186</v>
      </c>
      <c r="B186" s="1468" t="s">
        <v>104</v>
      </c>
      <c r="C186" s="12"/>
      <c r="D186" s="12"/>
      <c r="E186" s="12"/>
      <c r="F186" s="12"/>
      <c r="G186" s="12"/>
      <c r="H186" s="12"/>
      <c r="I186" s="12"/>
      <c r="J186" s="12"/>
      <c r="K186" s="12"/>
      <c r="L186" s="1141">
        <v>55</v>
      </c>
      <c r="M186" s="115"/>
      <c r="N186" s="115"/>
      <c r="O186" s="115"/>
      <c r="P186" s="1109">
        <f t="shared" si="0"/>
        <v>55</v>
      </c>
      <c r="Q186" s="115"/>
      <c r="R186" s="115"/>
      <c r="S186" s="115"/>
      <c r="T186" s="115"/>
      <c r="U186" s="1145"/>
      <c r="V186" s="115"/>
      <c r="W186" s="115"/>
      <c r="X186" s="115"/>
      <c r="Y186" s="115"/>
      <c r="Z186" s="115">
        <f t="shared" si="1"/>
        <v>0</v>
      </c>
    </row>
    <row r="187" spans="1:26" x14ac:dyDescent="0.2">
      <c r="A187" s="1682">
        <v>187</v>
      </c>
      <c r="B187" s="1198" t="s">
        <v>105</v>
      </c>
      <c r="C187" s="12"/>
      <c r="D187" s="12"/>
      <c r="E187" s="12"/>
      <c r="F187" s="12"/>
      <c r="G187" s="12"/>
      <c r="H187" s="12"/>
      <c r="I187" s="12"/>
      <c r="J187" s="12"/>
      <c r="K187" s="12"/>
      <c r="L187" s="1142"/>
      <c r="M187" s="115"/>
      <c r="N187" s="115">
        <v>5</v>
      </c>
      <c r="O187" s="115"/>
      <c r="P187" s="1109">
        <f t="shared" si="0"/>
        <v>5</v>
      </c>
      <c r="Q187" s="115"/>
      <c r="R187" s="115"/>
      <c r="S187" s="115">
        <v>5</v>
      </c>
      <c r="T187" s="115">
        <v>5</v>
      </c>
      <c r="U187" s="1145"/>
      <c r="V187" s="115"/>
      <c r="W187" s="115"/>
      <c r="X187" s="115"/>
      <c r="Y187" s="115"/>
      <c r="Z187" s="115">
        <f t="shared" si="1"/>
        <v>0</v>
      </c>
    </row>
    <row r="188" spans="1:26" x14ac:dyDescent="0.2">
      <c r="A188" s="2127">
        <v>188</v>
      </c>
      <c r="B188" s="1468" t="s">
        <v>106</v>
      </c>
      <c r="C188" s="12"/>
      <c r="D188" s="12"/>
      <c r="E188" s="12"/>
      <c r="F188" s="12"/>
      <c r="G188" s="12"/>
      <c r="H188" s="12"/>
      <c r="I188" s="12"/>
      <c r="J188" s="12"/>
      <c r="K188" s="12"/>
      <c r="L188" s="1141">
        <v>55</v>
      </c>
      <c r="M188" s="115"/>
      <c r="N188" s="115"/>
      <c r="O188" s="115"/>
      <c r="P188" s="1109">
        <f t="shared" si="0"/>
        <v>55</v>
      </c>
      <c r="Q188" s="115">
        <v>55</v>
      </c>
      <c r="R188" s="115"/>
      <c r="S188" s="115"/>
      <c r="T188" s="115">
        <v>55</v>
      </c>
      <c r="U188" s="1145"/>
      <c r="V188" s="115"/>
      <c r="W188" s="115"/>
      <c r="X188" s="115"/>
      <c r="Y188" s="115"/>
      <c r="Z188" s="115">
        <f t="shared" si="1"/>
        <v>0</v>
      </c>
    </row>
    <row r="189" spans="1:26" x14ac:dyDescent="0.2">
      <c r="A189" s="274">
        <v>189</v>
      </c>
      <c r="B189" s="1198" t="s">
        <v>107</v>
      </c>
      <c r="C189" s="12"/>
      <c r="D189" s="12"/>
      <c r="E189" s="12"/>
      <c r="F189" s="12"/>
      <c r="G189" s="12"/>
      <c r="H189" s="12"/>
      <c r="I189" s="12"/>
      <c r="J189" s="12"/>
      <c r="K189" s="12"/>
      <c r="L189" s="1142"/>
      <c r="M189" s="115"/>
      <c r="N189" s="115">
        <v>5</v>
      </c>
      <c r="O189" s="115"/>
      <c r="P189" s="1109">
        <f t="shared" si="0"/>
        <v>5</v>
      </c>
      <c r="Q189" s="115"/>
      <c r="R189" s="115"/>
      <c r="S189" s="115">
        <v>5</v>
      </c>
      <c r="T189" s="115">
        <v>5</v>
      </c>
      <c r="U189" s="1145"/>
      <c r="V189" s="115"/>
      <c r="W189" s="115"/>
      <c r="X189" s="115"/>
      <c r="Y189" s="115"/>
      <c r="Z189" s="115">
        <f t="shared" si="1"/>
        <v>0</v>
      </c>
    </row>
    <row r="190" spans="1:26" x14ac:dyDescent="0.2">
      <c r="A190" s="1682">
        <v>190</v>
      </c>
      <c r="B190" s="1468" t="s">
        <v>109</v>
      </c>
      <c r="C190" s="12"/>
      <c r="D190" s="12"/>
      <c r="E190" s="12"/>
      <c r="F190" s="12"/>
      <c r="G190" s="12"/>
      <c r="H190" s="12"/>
      <c r="I190" s="12"/>
      <c r="J190" s="12"/>
      <c r="K190" s="12"/>
      <c r="L190" s="1141">
        <v>55</v>
      </c>
      <c r="M190" s="115"/>
      <c r="N190" s="115"/>
      <c r="O190" s="115"/>
      <c r="P190" s="1109">
        <f t="shared" si="0"/>
        <v>55</v>
      </c>
      <c r="Q190" s="115">
        <v>55</v>
      </c>
      <c r="R190" s="115"/>
      <c r="S190" s="115"/>
      <c r="T190" s="115">
        <v>55</v>
      </c>
      <c r="U190" s="1145"/>
      <c r="V190" s="115"/>
      <c r="W190" s="115"/>
      <c r="X190" s="115"/>
      <c r="Y190" s="115"/>
      <c r="Z190" s="115">
        <f t="shared" si="1"/>
        <v>0</v>
      </c>
    </row>
    <row r="191" spans="1:26" x14ac:dyDescent="0.2">
      <c r="A191" s="2127">
        <v>191</v>
      </c>
      <c r="B191" s="1468" t="s">
        <v>110</v>
      </c>
      <c r="C191" s="12"/>
      <c r="D191" s="12"/>
      <c r="E191" s="12"/>
      <c r="F191" s="12"/>
      <c r="G191" s="12"/>
      <c r="H191" s="12"/>
      <c r="I191" s="12"/>
      <c r="J191" s="12"/>
      <c r="K191" s="12"/>
      <c r="L191" s="1141">
        <v>55</v>
      </c>
      <c r="M191" s="115"/>
      <c r="N191" s="115"/>
      <c r="O191" s="115"/>
      <c r="P191" s="1109">
        <f t="shared" si="0"/>
        <v>55</v>
      </c>
      <c r="Q191" s="115">
        <v>55</v>
      </c>
      <c r="R191" s="115"/>
      <c r="S191" s="115"/>
      <c r="T191" s="115">
        <v>55</v>
      </c>
      <c r="U191" s="1145"/>
      <c r="V191" s="115"/>
      <c r="W191" s="115"/>
      <c r="X191" s="115"/>
      <c r="Y191" s="115"/>
      <c r="Z191" s="115">
        <f t="shared" si="1"/>
        <v>0</v>
      </c>
    </row>
    <row r="192" spans="1:26" x14ac:dyDescent="0.2">
      <c r="A192" s="274">
        <v>192</v>
      </c>
      <c r="B192" s="1470" t="s">
        <v>112</v>
      </c>
      <c r="C192" s="12"/>
      <c r="D192" s="12"/>
      <c r="E192" s="12"/>
      <c r="F192" s="12"/>
      <c r="G192" s="12"/>
      <c r="H192" s="12"/>
      <c r="I192" s="12"/>
      <c r="J192" s="12"/>
      <c r="K192" s="12"/>
      <c r="L192" s="1141"/>
      <c r="M192" s="115"/>
      <c r="N192" s="115"/>
      <c r="O192" s="115"/>
      <c r="P192" s="1109"/>
      <c r="Q192" s="115"/>
      <c r="R192" s="115"/>
      <c r="S192" s="115">
        <v>5</v>
      </c>
      <c r="T192" s="115">
        <v>5</v>
      </c>
      <c r="U192" s="1145"/>
      <c r="V192" s="115"/>
      <c r="W192" s="115"/>
      <c r="X192" s="115"/>
      <c r="Y192" s="115"/>
      <c r="Z192" s="115">
        <f t="shared" si="1"/>
        <v>0</v>
      </c>
    </row>
    <row r="193" spans="1:26" x14ac:dyDescent="0.2">
      <c r="A193" s="1682">
        <v>193</v>
      </c>
      <c r="B193" s="1468" t="s">
        <v>113</v>
      </c>
      <c r="C193" s="12"/>
      <c r="D193" s="12"/>
      <c r="E193" s="12"/>
      <c r="F193" s="12"/>
      <c r="G193" s="12"/>
      <c r="H193" s="12"/>
      <c r="I193" s="12"/>
      <c r="J193" s="12"/>
      <c r="K193" s="12"/>
      <c r="L193" s="1141">
        <v>55</v>
      </c>
      <c r="M193" s="115"/>
      <c r="N193" s="115"/>
      <c r="O193" s="115"/>
      <c r="P193" s="1109">
        <f t="shared" si="0"/>
        <v>55</v>
      </c>
      <c r="Q193" s="115">
        <v>55</v>
      </c>
      <c r="R193" s="115"/>
      <c r="S193" s="115"/>
      <c r="T193" s="115">
        <v>55</v>
      </c>
      <c r="U193" s="1145"/>
      <c r="V193" s="115"/>
      <c r="W193" s="115"/>
      <c r="X193" s="115"/>
      <c r="Y193" s="115"/>
      <c r="Z193" s="115">
        <f t="shared" si="1"/>
        <v>0</v>
      </c>
    </row>
    <row r="194" spans="1:26" x14ac:dyDescent="0.2">
      <c r="A194" s="2127">
        <v>194</v>
      </c>
      <c r="B194" s="1468" t="s">
        <v>114</v>
      </c>
      <c r="C194" s="12"/>
      <c r="D194" s="12"/>
      <c r="E194" s="12"/>
      <c r="F194" s="12"/>
      <c r="G194" s="12"/>
      <c r="H194" s="12"/>
      <c r="I194" s="12"/>
      <c r="J194" s="12"/>
      <c r="K194" s="12"/>
      <c r="L194" s="1141">
        <v>55</v>
      </c>
      <c r="M194" s="115"/>
      <c r="N194" s="115"/>
      <c r="O194" s="115"/>
      <c r="P194" s="1109">
        <f t="shared" si="0"/>
        <v>55</v>
      </c>
      <c r="Q194" s="115">
        <v>55</v>
      </c>
      <c r="R194" s="115"/>
      <c r="S194" s="115"/>
      <c r="T194" s="115">
        <v>55</v>
      </c>
      <c r="U194" s="1145"/>
      <c r="V194" s="115"/>
      <c r="W194" s="115"/>
      <c r="X194" s="115"/>
      <c r="Y194" s="115"/>
      <c r="Z194" s="115">
        <f t="shared" si="1"/>
        <v>0</v>
      </c>
    </row>
    <row r="195" spans="1:26" x14ac:dyDescent="0.2">
      <c r="A195" s="274">
        <v>195</v>
      </c>
      <c r="B195" s="1468" t="s">
        <v>115</v>
      </c>
      <c r="C195" s="12"/>
      <c r="D195" s="12"/>
      <c r="E195" s="12"/>
      <c r="F195" s="12"/>
      <c r="G195" s="12"/>
      <c r="H195" s="12"/>
      <c r="I195" s="12"/>
      <c r="J195" s="12"/>
      <c r="K195" s="12"/>
      <c r="L195" s="1141">
        <v>55</v>
      </c>
      <c r="M195" s="115"/>
      <c r="N195" s="115"/>
      <c r="O195" s="115"/>
      <c r="P195" s="1109">
        <f t="shared" si="0"/>
        <v>55</v>
      </c>
      <c r="Q195" s="115">
        <v>55</v>
      </c>
      <c r="R195" s="115"/>
      <c r="S195" s="115"/>
      <c r="T195" s="115">
        <v>55</v>
      </c>
      <c r="U195" s="1145"/>
      <c r="V195" s="115"/>
      <c r="W195" s="115"/>
      <c r="X195" s="115"/>
      <c r="Y195" s="115"/>
      <c r="Z195" s="115">
        <f t="shared" si="1"/>
        <v>0</v>
      </c>
    </row>
    <row r="196" spans="1:26" x14ac:dyDescent="0.2">
      <c r="A196" s="1682">
        <v>196</v>
      </c>
      <c r="B196" s="1469" t="s">
        <v>116</v>
      </c>
      <c r="C196" s="12"/>
      <c r="D196" s="12"/>
      <c r="E196" s="12"/>
      <c r="F196" s="12"/>
      <c r="G196" s="12"/>
      <c r="H196" s="12"/>
      <c r="I196" s="12"/>
      <c r="J196" s="12"/>
      <c r="K196" s="12"/>
      <c r="L196" s="1141">
        <v>55</v>
      </c>
      <c r="M196" s="115"/>
      <c r="N196" s="115"/>
      <c r="O196" s="115"/>
      <c r="P196" s="1109">
        <f t="shared" si="0"/>
        <v>55</v>
      </c>
      <c r="Q196" s="115"/>
      <c r="R196" s="115"/>
      <c r="S196" s="115"/>
      <c r="T196" s="115"/>
      <c r="U196" s="1145"/>
      <c r="V196" s="115"/>
      <c r="W196" s="115"/>
      <c r="X196" s="115"/>
      <c r="Y196" s="115"/>
      <c r="Z196" s="115">
        <f t="shared" si="1"/>
        <v>0</v>
      </c>
    </row>
    <row r="197" spans="1:26" x14ac:dyDescent="0.2">
      <c r="A197" s="2127">
        <v>197</v>
      </c>
      <c r="B197" s="1468" t="s">
        <v>117</v>
      </c>
      <c r="C197" s="12"/>
      <c r="D197" s="12"/>
      <c r="E197" s="12"/>
      <c r="F197" s="12"/>
      <c r="G197" s="12"/>
      <c r="H197" s="12"/>
      <c r="I197" s="12"/>
      <c r="J197" s="12"/>
      <c r="K197" s="12"/>
      <c r="L197" s="1141">
        <v>55</v>
      </c>
      <c r="M197" s="115"/>
      <c r="N197" s="115"/>
      <c r="O197" s="115"/>
      <c r="P197" s="1109">
        <f t="shared" si="0"/>
        <v>55</v>
      </c>
      <c r="Q197" s="115">
        <v>55</v>
      </c>
      <c r="R197" s="115"/>
      <c r="S197" s="115"/>
      <c r="T197" s="115">
        <v>55</v>
      </c>
      <c r="U197" s="1145"/>
      <c r="V197" s="115"/>
      <c r="W197" s="115"/>
      <c r="X197" s="115"/>
      <c r="Y197" s="115"/>
      <c r="Z197" s="115">
        <f t="shared" si="1"/>
        <v>0</v>
      </c>
    </row>
    <row r="198" spans="1:26" x14ac:dyDescent="0.2">
      <c r="A198" s="274">
        <v>198</v>
      </c>
      <c r="B198" s="1468" t="s">
        <v>118</v>
      </c>
      <c r="C198" s="12"/>
      <c r="D198" s="12"/>
      <c r="E198" s="12"/>
      <c r="F198" s="12"/>
      <c r="G198" s="12"/>
      <c r="H198" s="12"/>
      <c r="I198" s="12"/>
      <c r="J198" s="12"/>
      <c r="K198" s="12"/>
      <c r="L198" s="1141">
        <v>55</v>
      </c>
      <c r="M198" s="115"/>
      <c r="N198" s="115"/>
      <c r="O198" s="115"/>
      <c r="P198" s="1109">
        <f t="shared" si="0"/>
        <v>55</v>
      </c>
      <c r="Q198" s="115">
        <v>55</v>
      </c>
      <c r="R198" s="115"/>
      <c r="S198" s="115"/>
      <c r="T198" s="115">
        <v>55</v>
      </c>
      <c r="U198" s="1145"/>
      <c r="V198" s="115"/>
      <c r="W198" s="115"/>
      <c r="X198" s="115"/>
      <c r="Y198" s="115"/>
      <c r="Z198" s="115">
        <f t="shared" si="1"/>
        <v>0</v>
      </c>
    </row>
    <row r="199" spans="1:26" x14ac:dyDescent="0.2">
      <c r="A199" s="1682">
        <v>199</v>
      </c>
      <c r="B199" s="1468" t="s">
        <v>119</v>
      </c>
      <c r="C199" s="12"/>
      <c r="D199" s="12"/>
      <c r="E199" s="12"/>
      <c r="F199" s="12"/>
      <c r="G199" s="12"/>
      <c r="H199" s="12"/>
      <c r="I199" s="12"/>
      <c r="J199" s="12"/>
      <c r="K199" s="12"/>
      <c r="L199" s="1141">
        <v>55</v>
      </c>
      <c r="M199" s="115"/>
      <c r="N199" s="115"/>
      <c r="O199" s="115"/>
      <c r="P199" s="1109">
        <f t="shared" si="0"/>
        <v>55</v>
      </c>
      <c r="Q199" s="115">
        <v>55</v>
      </c>
      <c r="R199" s="115"/>
      <c r="S199" s="115"/>
      <c r="T199" s="115">
        <v>55</v>
      </c>
      <c r="U199" s="1145"/>
      <c r="V199" s="115"/>
      <c r="W199" s="115"/>
      <c r="X199" s="115"/>
      <c r="Y199" s="115"/>
      <c r="Z199" s="115">
        <f t="shared" si="1"/>
        <v>0</v>
      </c>
    </row>
    <row r="200" spans="1:26" x14ac:dyDescent="0.2">
      <c r="A200" s="2127">
        <v>200</v>
      </c>
      <c r="B200" s="1468" t="s">
        <v>120</v>
      </c>
      <c r="C200" s="12"/>
      <c r="D200" s="12"/>
      <c r="E200" s="12"/>
      <c r="F200" s="12"/>
      <c r="G200" s="12"/>
      <c r="H200" s="12"/>
      <c r="I200" s="12"/>
      <c r="J200" s="12"/>
      <c r="K200" s="12"/>
      <c r="L200" s="1141">
        <v>55</v>
      </c>
      <c r="M200" s="115"/>
      <c r="N200" s="115"/>
      <c r="O200" s="115"/>
      <c r="P200" s="1109">
        <f t="shared" si="0"/>
        <v>55</v>
      </c>
      <c r="Q200" s="115">
        <v>55</v>
      </c>
      <c r="R200" s="115"/>
      <c r="S200" s="115"/>
      <c r="T200" s="115">
        <v>55</v>
      </c>
      <c r="U200" s="1145"/>
      <c r="V200" s="115"/>
      <c r="W200" s="115"/>
      <c r="X200" s="115"/>
      <c r="Y200" s="115"/>
      <c r="Z200" s="115">
        <f t="shared" si="1"/>
        <v>0</v>
      </c>
    </row>
    <row r="201" spans="1:26" x14ac:dyDescent="0.2">
      <c r="A201" s="274">
        <v>201</v>
      </c>
      <c r="B201" s="1468" t="s">
        <v>659</v>
      </c>
      <c r="C201" s="12"/>
      <c r="D201" s="12"/>
      <c r="E201" s="12"/>
      <c r="F201" s="12"/>
      <c r="G201" s="12"/>
      <c r="H201" s="12"/>
      <c r="I201" s="12"/>
      <c r="J201" s="12"/>
      <c r="K201" s="12"/>
      <c r="L201" s="1141">
        <v>55</v>
      </c>
      <c r="M201" s="115"/>
      <c r="N201" s="115"/>
      <c r="O201" s="115"/>
      <c r="P201" s="1109">
        <f t="shared" si="0"/>
        <v>55</v>
      </c>
      <c r="Q201" s="115">
        <v>55</v>
      </c>
      <c r="R201" s="115"/>
      <c r="S201" s="115"/>
      <c r="T201" s="115">
        <v>55</v>
      </c>
      <c r="U201" s="1145"/>
      <c r="V201" s="115"/>
      <c r="W201" s="115"/>
      <c r="X201" s="115"/>
      <c r="Y201" s="115"/>
      <c r="Z201" s="115">
        <f t="shared" si="1"/>
        <v>0</v>
      </c>
    </row>
    <row r="202" spans="1:26" x14ac:dyDescent="0.2">
      <c r="A202" s="1682">
        <v>202</v>
      </c>
      <c r="B202" s="1468" t="s">
        <v>660</v>
      </c>
      <c r="C202" s="12"/>
      <c r="D202" s="12"/>
      <c r="E202" s="12"/>
      <c r="F202" s="12"/>
      <c r="G202" s="12"/>
      <c r="H202" s="12"/>
      <c r="I202" s="12"/>
      <c r="J202" s="12"/>
      <c r="K202" s="12"/>
      <c r="L202" s="1141">
        <v>55</v>
      </c>
      <c r="M202" s="115"/>
      <c r="N202" s="115"/>
      <c r="O202" s="115"/>
      <c r="P202" s="1109">
        <f t="shared" si="0"/>
        <v>55</v>
      </c>
      <c r="Q202" s="115">
        <v>55</v>
      </c>
      <c r="R202" s="115"/>
      <c r="S202" s="115"/>
      <c r="T202" s="115">
        <v>55</v>
      </c>
      <c r="U202" s="1145"/>
      <c r="V202" s="115"/>
      <c r="W202" s="115"/>
      <c r="X202" s="115"/>
      <c r="Y202" s="115"/>
      <c r="Z202" s="115">
        <f t="shared" si="1"/>
        <v>0</v>
      </c>
    </row>
    <row r="203" spans="1:26" x14ac:dyDescent="0.2">
      <c r="A203" s="2127">
        <v>203</v>
      </c>
      <c r="B203" s="1198" t="s">
        <v>121</v>
      </c>
      <c r="C203" s="12"/>
      <c r="D203" s="12"/>
      <c r="E203" s="12"/>
      <c r="F203" s="12"/>
      <c r="G203" s="12"/>
      <c r="H203" s="12"/>
      <c r="I203" s="12"/>
      <c r="J203" s="12"/>
      <c r="K203" s="12"/>
      <c r="L203" s="1142"/>
      <c r="M203" s="115"/>
      <c r="N203" s="115">
        <v>5</v>
      </c>
      <c r="O203" s="115"/>
      <c r="P203" s="1109">
        <f t="shared" si="0"/>
        <v>5</v>
      </c>
      <c r="Q203" s="115"/>
      <c r="R203" s="115"/>
      <c r="S203" s="115">
        <v>5</v>
      </c>
      <c r="T203" s="115">
        <v>5</v>
      </c>
      <c r="U203" s="1145"/>
      <c r="V203" s="115"/>
      <c r="W203" s="115"/>
      <c r="X203" s="115"/>
      <c r="Y203" s="115"/>
      <c r="Z203" s="115">
        <f t="shared" ref="Z203:Z248" si="2">SUM(V203:X203)</f>
        <v>0</v>
      </c>
    </row>
    <row r="204" spans="1:26" x14ac:dyDescent="0.2">
      <c r="A204" s="274">
        <v>204</v>
      </c>
      <c r="B204" s="1198" t="s">
        <v>122</v>
      </c>
      <c r="C204" s="12"/>
      <c r="D204" s="12"/>
      <c r="E204" s="12"/>
      <c r="F204" s="12"/>
      <c r="G204" s="12"/>
      <c r="H204" s="12"/>
      <c r="I204" s="12"/>
      <c r="J204" s="12"/>
      <c r="K204" s="12"/>
      <c r="L204" s="1142"/>
      <c r="M204" s="115"/>
      <c r="N204" s="115">
        <v>5</v>
      </c>
      <c r="O204" s="115"/>
      <c r="P204" s="1109">
        <f t="shared" ref="P204:P248" si="3">+L204+M204+N204</f>
        <v>5</v>
      </c>
      <c r="Q204" s="115"/>
      <c r="R204" s="115"/>
      <c r="S204" s="115">
        <v>5</v>
      </c>
      <c r="T204" s="115">
        <v>5</v>
      </c>
      <c r="U204" s="1145"/>
      <c r="V204" s="115"/>
      <c r="W204" s="115"/>
      <c r="X204" s="115"/>
      <c r="Y204" s="115"/>
      <c r="Z204" s="115">
        <f t="shared" si="2"/>
        <v>0</v>
      </c>
    </row>
    <row r="205" spans="1:26" x14ac:dyDescent="0.2">
      <c r="A205" s="1682">
        <v>205</v>
      </c>
      <c r="B205" s="1468" t="s">
        <v>123</v>
      </c>
      <c r="C205" s="12"/>
      <c r="D205" s="12"/>
      <c r="E205" s="12"/>
      <c r="F205" s="12"/>
      <c r="G205" s="12"/>
      <c r="H205" s="12"/>
      <c r="I205" s="12"/>
      <c r="J205" s="12"/>
      <c r="K205" s="12"/>
      <c r="L205" s="1141">
        <v>55</v>
      </c>
      <c r="M205" s="115"/>
      <c r="N205" s="115"/>
      <c r="O205" s="115"/>
      <c r="P205" s="1109">
        <f t="shared" si="3"/>
        <v>55</v>
      </c>
      <c r="Q205" s="115">
        <v>55</v>
      </c>
      <c r="R205" s="115"/>
      <c r="S205" s="115"/>
      <c r="T205" s="115">
        <v>55</v>
      </c>
      <c r="U205" s="1145"/>
      <c r="V205" s="115"/>
      <c r="W205" s="115"/>
      <c r="X205" s="115"/>
      <c r="Y205" s="115"/>
      <c r="Z205" s="115">
        <f t="shared" si="2"/>
        <v>0</v>
      </c>
    </row>
    <row r="206" spans="1:26" x14ac:dyDescent="0.2">
      <c r="A206" s="2127">
        <v>206</v>
      </c>
      <c r="B206" s="1468" t="s">
        <v>124</v>
      </c>
      <c r="C206" s="12"/>
      <c r="D206" s="12"/>
      <c r="E206" s="12"/>
      <c r="F206" s="12"/>
      <c r="G206" s="12"/>
      <c r="H206" s="12"/>
      <c r="I206" s="12"/>
      <c r="J206" s="12"/>
      <c r="K206" s="12"/>
      <c r="L206" s="1141">
        <v>55</v>
      </c>
      <c r="M206" s="115"/>
      <c r="N206" s="115"/>
      <c r="O206" s="115"/>
      <c r="P206" s="1109">
        <f t="shared" si="3"/>
        <v>55</v>
      </c>
      <c r="Q206" s="115">
        <v>55</v>
      </c>
      <c r="R206" s="115"/>
      <c r="S206" s="115"/>
      <c r="T206" s="115">
        <v>55</v>
      </c>
      <c r="U206" s="1145"/>
      <c r="V206" s="115"/>
      <c r="W206" s="115"/>
      <c r="X206" s="115"/>
      <c r="Y206" s="115"/>
      <c r="Z206" s="115">
        <f t="shared" si="2"/>
        <v>0</v>
      </c>
    </row>
    <row r="207" spans="1:26" x14ac:dyDescent="0.2">
      <c r="A207" s="274">
        <v>207</v>
      </c>
      <c r="B207" s="1468" t="s">
        <v>125</v>
      </c>
      <c r="C207" s="12"/>
      <c r="D207" s="12"/>
      <c r="E207" s="12"/>
      <c r="F207" s="12"/>
      <c r="G207" s="12"/>
      <c r="H207" s="12"/>
      <c r="I207" s="12"/>
      <c r="J207" s="12"/>
      <c r="K207" s="12"/>
      <c r="L207" s="1141">
        <v>55</v>
      </c>
      <c r="M207" s="115"/>
      <c r="N207" s="115"/>
      <c r="O207" s="115"/>
      <c r="P207" s="1109">
        <f t="shared" si="3"/>
        <v>55</v>
      </c>
      <c r="Q207" s="115">
        <v>55</v>
      </c>
      <c r="R207" s="115"/>
      <c r="S207" s="115"/>
      <c r="T207" s="115">
        <v>55</v>
      </c>
      <c r="U207" s="1145"/>
      <c r="V207" s="115"/>
      <c r="W207" s="115"/>
      <c r="X207" s="115"/>
      <c r="Y207" s="115"/>
      <c r="Z207" s="115">
        <f t="shared" si="2"/>
        <v>0</v>
      </c>
    </row>
    <row r="208" spans="1:26" x14ac:dyDescent="0.2">
      <c r="A208" s="1682">
        <v>208</v>
      </c>
      <c r="B208" s="1468" t="s">
        <v>910</v>
      </c>
      <c r="C208" s="12"/>
      <c r="D208" s="12"/>
      <c r="E208" s="12"/>
      <c r="F208" s="12"/>
      <c r="G208" s="12"/>
      <c r="H208" s="12"/>
      <c r="I208" s="12"/>
      <c r="J208" s="12"/>
      <c r="K208" s="12"/>
      <c r="L208" s="1141">
        <v>55</v>
      </c>
      <c r="M208" s="115"/>
      <c r="N208" s="115"/>
      <c r="O208" s="115"/>
      <c r="P208" s="1109">
        <f t="shared" si="3"/>
        <v>55</v>
      </c>
      <c r="Q208" s="115">
        <v>55</v>
      </c>
      <c r="R208" s="115"/>
      <c r="S208" s="115"/>
      <c r="T208" s="115">
        <v>55</v>
      </c>
      <c r="U208" s="1145"/>
      <c r="V208" s="115"/>
      <c r="W208" s="115"/>
      <c r="X208" s="115"/>
      <c r="Y208" s="115"/>
      <c r="Z208" s="115">
        <f t="shared" si="2"/>
        <v>0</v>
      </c>
    </row>
    <row r="209" spans="1:26" x14ac:dyDescent="0.2">
      <c r="A209" s="2127">
        <v>209</v>
      </c>
      <c r="B209" s="1470" t="s">
        <v>1116</v>
      </c>
      <c r="C209" s="12"/>
      <c r="D209" s="12"/>
      <c r="E209" s="12"/>
      <c r="F209" s="12"/>
      <c r="G209" s="12"/>
      <c r="H209" s="12"/>
      <c r="I209" s="12"/>
      <c r="J209" s="12"/>
      <c r="K209" s="12"/>
      <c r="L209" s="1141"/>
      <c r="M209" s="115"/>
      <c r="N209" s="115"/>
      <c r="O209" s="115"/>
      <c r="P209" s="1109"/>
      <c r="Q209" s="115">
        <v>55</v>
      </c>
      <c r="R209" s="115"/>
      <c r="S209" s="115"/>
      <c r="T209" s="115">
        <v>55</v>
      </c>
      <c r="U209" s="1145"/>
      <c r="V209" s="115"/>
      <c r="W209" s="115"/>
      <c r="X209" s="115"/>
      <c r="Y209" s="115"/>
      <c r="Z209" s="115">
        <f t="shared" si="2"/>
        <v>0</v>
      </c>
    </row>
    <row r="210" spans="1:26" x14ac:dyDescent="0.2">
      <c r="A210" s="274">
        <v>210</v>
      </c>
      <c r="B210" s="1470" t="s">
        <v>1114</v>
      </c>
      <c r="C210" s="12"/>
      <c r="D210" s="12"/>
      <c r="E210" s="12"/>
      <c r="F210" s="12"/>
      <c r="G210" s="12"/>
      <c r="H210" s="12"/>
      <c r="I210" s="12"/>
      <c r="J210" s="12"/>
      <c r="K210" s="12"/>
      <c r="L210" s="1141"/>
      <c r="M210" s="115"/>
      <c r="N210" s="115"/>
      <c r="O210" s="115"/>
      <c r="P210" s="1109"/>
      <c r="Q210" s="115">
        <v>55</v>
      </c>
      <c r="R210" s="115"/>
      <c r="S210" s="115"/>
      <c r="T210" s="115">
        <v>55</v>
      </c>
      <c r="U210" s="1145"/>
      <c r="V210" s="115"/>
      <c r="W210" s="115"/>
      <c r="X210" s="115"/>
      <c r="Y210" s="115"/>
      <c r="Z210" s="115">
        <f t="shared" si="2"/>
        <v>0</v>
      </c>
    </row>
    <row r="211" spans="1:26" x14ac:dyDescent="0.2">
      <c r="A211" s="1682">
        <v>211</v>
      </c>
      <c r="B211" s="1468" t="s">
        <v>126</v>
      </c>
      <c r="C211" s="12"/>
      <c r="D211" s="12"/>
      <c r="E211" s="12"/>
      <c r="F211" s="12"/>
      <c r="G211" s="12"/>
      <c r="H211" s="12"/>
      <c r="I211" s="12"/>
      <c r="J211" s="12"/>
      <c r="K211" s="12"/>
      <c r="L211" s="1141">
        <v>55</v>
      </c>
      <c r="M211" s="115"/>
      <c r="N211" s="115"/>
      <c r="O211" s="115"/>
      <c r="P211" s="1109">
        <f t="shared" si="3"/>
        <v>55</v>
      </c>
      <c r="Q211" s="115">
        <v>55</v>
      </c>
      <c r="R211" s="115"/>
      <c r="S211" s="115"/>
      <c r="T211" s="115">
        <v>55</v>
      </c>
      <c r="U211" s="1145"/>
      <c r="V211" s="115"/>
      <c r="W211" s="115"/>
      <c r="X211" s="115"/>
      <c r="Y211" s="115"/>
      <c r="Z211" s="115">
        <f t="shared" si="2"/>
        <v>0</v>
      </c>
    </row>
    <row r="212" spans="1:26" x14ac:dyDescent="0.2">
      <c r="A212" s="2127">
        <v>212</v>
      </c>
      <c r="B212" s="1469" t="s">
        <v>1011</v>
      </c>
      <c r="C212" s="12"/>
      <c r="D212" s="12"/>
      <c r="E212" s="12"/>
      <c r="F212" s="12"/>
      <c r="G212" s="12"/>
      <c r="H212" s="12"/>
      <c r="I212" s="12"/>
      <c r="J212" s="12"/>
      <c r="K212" s="12"/>
      <c r="L212" s="1141">
        <v>55</v>
      </c>
      <c r="M212" s="115"/>
      <c r="N212" s="115"/>
      <c r="O212" s="115"/>
      <c r="P212" s="1109">
        <f t="shared" si="3"/>
        <v>55</v>
      </c>
      <c r="Q212" s="115"/>
      <c r="R212" s="115"/>
      <c r="S212" s="115"/>
      <c r="T212" s="115"/>
      <c r="U212" s="1145"/>
      <c r="V212" s="115"/>
      <c r="W212" s="115"/>
      <c r="X212" s="115"/>
      <c r="Y212" s="115"/>
      <c r="Z212" s="115">
        <f t="shared" si="2"/>
        <v>0</v>
      </c>
    </row>
    <row r="213" spans="1:26" x14ac:dyDescent="0.2">
      <c r="A213" s="274">
        <v>213</v>
      </c>
      <c r="B213" s="1468" t="s">
        <v>911</v>
      </c>
      <c r="C213" s="12"/>
      <c r="D213" s="12"/>
      <c r="E213" s="12"/>
      <c r="F213" s="12"/>
      <c r="G213" s="12"/>
      <c r="H213" s="12"/>
      <c r="I213" s="12"/>
      <c r="J213" s="12"/>
      <c r="K213" s="12"/>
      <c r="L213" s="1141">
        <v>55</v>
      </c>
      <c r="M213" s="115"/>
      <c r="N213" s="115"/>
      <c r="O213" s="115"/>
      <c r="P213" s="1109">
        <f t="shared" si="3"/>
        <v>55</v>
      </c>
      <c r="Q213" s="115">
        <v>55</v>
      </c>
      <c r="R213" s="115"/>
      <c r="S213" s="115"/>
      <c r="T213" s="115">
        <v>55</v>
      </c>
      <c r="U213" s="1145"/>
      <c r="V213" s="115"/>
      <c r="W213" s="115"/>
      <c r="X213" s="115"/>
      <c r="Y213" s="115"/>
      <c r="Z213" s="115">
        <f t="shared" si="2"/>
        <v>0</v>
      </c>
    </row>
    <row r="214" spans="1:26" x14ac:dyDescent="0.2">
      <c r="A214" s="1682">
        <v>214</v>
      </c>
      <c r="B214" s="1468" t="s">
        <v>128</v>
      </c>
      <c r="C214" s="12"/>
      <c r="D214" s="12"/>
      <c r="E214" s="12"/>
      <c r="F214" s="12"/>
      <c r="G214" s="12"/>
      <c r="H214" s="12"/>
      <c r="I214" s="12"/>
      <c r="J214" s="12"/>
      <c r="K214" s="12"/>
      <c r="L214" s="1141">
        <v>55</v>
      </c>
      <c r="M214" s="115"/>
      <c r="N214" s="115"/>
      <c r="O214" s="115"/>
      <c r="P214" s="1109">
        <f t="shared" si="3"/>
        <v>55</v>
      </c>
      <c r="Q214" s="115">
        <v>55</v>
      </c>
      <c r="R214" s="115"/>
      <c r="S214" s="115"/>
      <c r="T214" s="115">
        <v>55</v>
      </c>
      <c r="U214" s="1145"/>
      <c r="V214" s="115"/>
      <c r="W214" s="115"/>
      <c r="X214" s="115"/>
      <c r="Y214" s="115"/>
      <c r="Z214" s="115">
        <f t="shared" si="2"/>
        <v>0</v>
      </c>
    </row>
    <row r="215" spans="1:26" x14ac:dyDescent="0.2">
      <c r="A215" s="2127">
        <v>215</v>
      </c>
      <c r="B215" s="1198" t="s">
        <v>868</v>
      </c>
      <c r="C215" s="12"/>
      <c r="D215" s="12"/>
      <c r="E215" s="12"/>
      <c r="F215" s="12"/>
      <c r="G215" s="12"/>
      <c r="H215" s="12"/>
      <c r="I215" s="12"/>
      <c r="J215" s="12"/>
      <c r="K215" s="12"/>
      <c r="L215" s="1142"/>
      <c r="M215" s="115"/>
      <c r="N215" s="115">
        <v>5</v>
      </c>
      <c r="O215" s="115"/>
      <c r="P215" s="1109">
        <f t="shared" si="3"/>
        <v>5</v>
      </c>
      <c r="Q215" s="115"/>
      <c r="R215" s="115"/>
      <c r="S215" s="115">
        <v>5</v>
      </c>
      <c r="T215" s="115">
        <v>5</v>
      </c>
      <c r="U215" s="1145"/>
      <c r="V215" s="115"/>
      <c r="W215" s="115"/>
      <c r="X215" s="115"/>
      <c r="Y215" s="115"/>
      <c r="Z215" s="115">
        <f t="shared" si="2"/>
        <v>0</v>
      </c>
    </row>
    <row r="216" spans="1:26" x14ac:dyDescent="0.2">
      <c r="A216" s="274">
        <v>216</v>
      </c>
      <c r="B216" s="1198" t="s">
        <v>130</v>
      </c>
      <c r="C216" s="12"/>
      <c r="D216" s="12"/>
      <c r="E216" s="12"/>
      <c r="F216" s="12"/>
      <c r="G216" s="12"/>
      <c r="H216" s="12"/>
      <c r="I216" s="12"/>
      <c r="J216" s="12"/>
      <c r="K216" s="12"/>
      <c r="L216" s="1142"/>
      <c r="M216" s="115"/>
      <c r="N216" s="115">
        <v>5</v>
      </c>
      <c r="O216" s="115"/>
      <c r="P216" s="1109">
        <f t="shared" si="3"/>
        <v>5</v>
      </c>
      <c r="Q216" s="115"/>
      <c r="R216" s="115"/>
      <c r="S216" s="115">
        <v>5</v>
      </c>
      <c r="T216" s="115">
        <v>5</v>
      </c>
      <c r="U216" s="1145"/>
      <c r="V216" s="115"/>
      <c r="W216" s="115"/>
      <c r="X216" s="115"/>
      <c r="Y216" s="115"/>
      <c r="Z216" s="115">
        <f t="shared" si="2"/>
        <v>0</v>
      </c>
    </row>
    <row r="217" spans="1:26" x14ac:dyDescent="0.2">
      <c r="A217" s="1682">
        <v>217</v>
      </c>
      <c r="B217" s="1468" t="s">
        <v>131</v>
      </c>
      <c r="C217" s="12"/>
      <c r="D217" s="12"/>
      <c r="E217" s="12"/>
      <c r="F217" s="12"/>
      <c r="G217" s="12"/>
      <c r="H217" s="12"/>
      <c r="I217" s="12"/>
      <c r="J217" s="12"/>
      <c r="K217" s="12"/>
      <c r="L217" s="1141">
        <v>55</v>
      </c>
      <c r="M217" s="115"/>
      <c r="N217" s="115"/>
      <c r="O217" s="115"/>
      <c r="P217" s="1109">
        <f t="shared" si="3"/>
        <v>55</v>
      </c>
      <c r="Q217" s="115">
        <v>55</v>
      </c>
      <c r="R217" s="115"/>
      <c r="S217" s="115"/>
      <c r="T217" s="115">
        <v>55</v>
      </c>
      <c r="U217" s="1145"/>
      <c r="V217" s="115"/>
      <c r="W217" s="115"/>
      <c r="X217" s="115"/>
      <c r="Y217" s="115"/>
      <c r="Z217" s="115">
        <f t="shared" si="2"/>
        <v>0</v>
      </c>
    </row>
    <row r="218" spans="1:26" x14ac:dyDescent="0.2">
      <c r="A218" s="2127">
        <v>218</v>
      </c>
      <c r="B218" s="1198" t="s">
        <v>132</v>
      </c>
      <c r="C218" s="12"/>
      <c r="D218" s="12"/>
      <c r="E218" s="12"/>
      <c r="F218" s="12"/>
      <c r="G218" s="12"/>
      <c r="H218" s="12"/>
      <c r="I218" s="12"/>
      <c r="J218" s="12"/>
      <c r="K218" s="12"/>
      <c r="L218" s="1142"/>
      <c r="M218" s="115"/>
      <c r="N218" s="115">
        <v>5</v>
      </c>
      <c r="O218" s="115"/>
      <c r="P218" s="1109">
        <f t="shared" si="3"/>
        <v>5</v>
      </c>
      <c r="Q218" s="115"/>
      <c r="R218" s="115"/>
      <c r="S218" s="115">
        <v>5</v>
      </c>
      <c r="T218" s="115">
        <v>5</v>
      </c>
      <c r="U218" s="1145"/>
      <c r="V218" s="115"/>
      <c r="W218" s="115"/>
      <c r="X218" s="115"/>
      <c r="Y218" s="115"/>
      <c r="Z218" s="115">
        <f t="shared" si="2"/>
        <v>0</v>
      </c>
    </row>
    <row r="219" spans="1:26" x14ac:dyDescent="0.2">
      <c r="A219" s="274">
        <v>219</v>
      </c>
      <c r="B219" s="1468" t="s">
        <v>912</v>
      </c>
      <c r="C219" s="12"/>
      <c r="D219" s="12"/>
      <c r="E219" s="12"/>
      <c r="F219" s="12"/>
      <c r="G219" s="12"/>
      <c r="H219" s="12"/>
      <c r="I219" s="12"/>
      <c r="J219" s="12"/>
      <c r="K219" s="12"/>
      <c r="L219" s="1141">
        <v>55</v>
      </c>
      <c r="M219" s="115"/>
      <c r="N219" s="115"/>
      <c r="O219" s="115"/>
      <c r="P219" s="1109">
        <f t="shared" si="3"/>
        <v>55</v>
      </c>
      <c r="Q219" s="115">
        <v>55</v>
      </c>
      <c r="R219" s="115"/>
      <c r="S219" s="115"/>
      <c r="T219" s="115">
        <v>55</v>
      </c>
      <c r="U219" s="1145"/>
      <c r="V219" s="115"/>
      <c r="W219" s="115"/>
      <c r="X219" s="115"/>
      <c r="Y219" s="115"/>
      <c r="Z219" s="115">
        <f t="shared" si="2"/>
        <v>0</v>
      </c>
    </row>
    <row r="220" spans="1:26" x14ac:dyDescent="0.2">
      <c r="A220" s="1682">
        <v>220</v>
      </c>
      <c r="B220" s="1468" t="s">
        <v>1104</v>
      </c>
      <c r="C220" s="12"/>
      <c r="D220" s="12"/>
      <c r="E220" s="12"/>
      <c r="F220" s="12"/>
      <c r="G220" s="12"/>
      <c r="H220" s="12"/>
      <c r="I220" s="12"/>
      <c r="J220" s="12"/>
      <c r="K220" s="12"/>
      <c r="L220" s="1141">
        <v>55</v>
      </c>
      <c r="M220" s="115"/>
      <c r="N220" s="115"/>
      <c r="O220" s="115"/>
      <c r="P220" s="1109">
        <f t="shared" si="3"/>
        <v>55</v>
      </c>
      <c r="Q220" s="115">
        <v>55</v>
      </c>
      <c r="R220" s="115"/>
      <c r="S220" s="115"/>
      <c r="T220" s="115">
        <v>55</v>
      </c>
      <c r="U220" s="1145"/>
      <c r="V220" s="115"/>
      <c r="W220" s="115"/>
      <c r="X220" s="115"/>
      <c r="Y220" s="115"/>
      <c r="Z220" s="115">
        <f t="shared" si="2"/>
        <v>0</v>
      </c>
    </row>
    <row r="221" spans="1:26" x14ac:dyDescent="0.2">
      <c r="A221" s="2127">
        <v>221</v>
      </c>
      <c r="B221" s="1468" t="s">
        <v>134</v>
      </c>
      <c r="C221" s="12"/>
      <c r="D221" s="12"/>
      <c r="E221" s="12"/>
      <c r="F221" s="12"/>
      <c r="G221" s="12"/>
      <c r="H221" s="12"/>
      <c r="I221" s="12"/>
      <c r="J221" s="12"/>
      <c r="K221" s="12"/>
      <c r="L221" s="1141">
        <v>55</v>
      </c>
      <c r="M221" s="115"/>
      <c r="N221" s="115"/>
      <c r="O221" s="115"/>
      <c r="P221" s="1109">
        <f t="shared" si="3"/>
        <v>55</v>
      </c>
      <c r="Q221" s="115"/>
      <c r="R221" s="115"/>
      <c r="S221" s="115">
        <v>5</v>
      </c>
      <c r="T221" s="115">
        <v>5</v>
      </c>
      <c r="U221" s="1145"/>
      <c r="V221" s="115"/>
      <c r="W221" s="115"/>
      <c r="X221" s="115"/>
      <c r="Y221" s="115"/>
      <c r="Z221" s="115">
        <f t="shared" si="2"/>
        <v>0</v>
      </c>
    </row>
    <row r="222" spans="1:26" x14ac:dyDescent="0.2">
      <c r="A222" s="274">
        <v>222</v>
      </c>
      <c r="B222" s="1469" t="s">
        <v>1105</v>
      </c>
      <c r="C222" s="12"/>
      <c r="D222" s="12"/>
      <c r="E222" s="12"/>
      <c r="F222" s="12"/>
      <c r="G222" s="12"/>
      <c r="H222" s="12"/>
      <c r="I222" s="12"/>
      <c r="J222" s="12"/>
      <c r="K222" s="12"/>
      <c r="L222" s="1141">
        <v>55</v>
      </c>
      <c r="M222" s="115"/>
      <c r="N222" s="115"/>
      <c r="O222" s="115"/>
      <c r="P222" s="1109">
        <f t="shared" si="3"/>
        <v>55</v>
      </c>
      <c r="Q222" s="115"/>
      <c r="R222" s="115"/>
      <c r="S222" s="115"/>
      <c r="T222" s="115"/>
      <c r="U222" s="1145"/>
      <c r="V222" s="115"/>
      <c r="W222" s="115"/>
      <c r="X222" s="115"/>
      <c r="Y222" s="115"/>
      <c r="Z222" s="115">
        <f t="shared" si="2"/>
        <v>0</v>
      </c>
    </row>
    <row r="223" spans="1:26" x14ac:dyDescent="0.2">
      <c r="A223" s="1682">
        <v>223</v>
      </c>
      <c r="B223" s="1469" t="s">
        <v>1106</v>
      </c>
      <c r="C223" s="12"/>
      <c r="D223" s="12"/>
      <c r="E223" s="12"/>
      <c r="F223" s="12"/>
      <c r="G223" s="12"/>
      <c r="H223" s="12"/>
      <c r="I223" s="12"/>
      <c r="J223" s="12"/>
      <c r="K223" s="12"/>
      <c r="L223" s="1141">
        <v>55</v>
      </c>
      <c r="M223" s="115"/>
      <c r="N223" s="115"/>
      <c r="O223" s="115"/>
      <c r="P223" s="1109">
        <f t="shared" si="3"/>
        <v>55</v>
      </c>
      <c r="Q223" s="115"/>
      <c r="R223" s="115"/>
      <c r="S223" s="115"/>
      <c r="T223" s="115"/>
      <c r="U223" s="1145"/>
      <c r="V223" s="115"/>
      <c r="W223" s="115"/>
      <c r="X223" s="115"/>
      <c r="Y223" s="115"/>
      <c r="Z223" s="115">
        <f t="shared" si="2"/>
        <v>0</v>
      </c>
    </row>
    <row r="224" spans="1:26" x14ac:dyDescent="0.2">
      <c r="A224" s="2127">
        <v>224</v>
      </c>
      <c r="B224" s="1468" t="s">
        <v>135</v>
      </c>
      <c r="C224" s="12"/>
      <c r="D224" s="12"/>
      <c r="E224" s="12"/>
      <c r="F224" s="12"/>
      <c r="G224" s="12"/>
      <c r="H224" s="12"/>
      <c r="I224" s="12"/>
      <c r="J224" s="12"/>
      <c r="K224" s="12"/>
      <c r="L224" s="1141">
        <v>55</v>
      </c>
      <c r="M224" s="115"/>
      <c r="N224" s="115"/>
      <c r="O224" s="115"/>
      <c r="P224" s="1109">
        <f t="shared" si="3"/>
        <v>55</v>
      </c>
      <c r="Q224" s="115">
        <v>55</v>
      </c>
      <c r="R224" s="115"/>
      <c r="S224" s="115"/>
      <c r="T224" s="115">
        <v>55</v>
      </c>
      <c r="U224" s="1145"/>
      <c r="V224" s="115"/>
      <c r="W224" s="115"/>
      <c r="X224" s="115"/>
      <c r="Y224" s="115"/>
      <c r="Z224" s="115">
        <f t="shared" si="2"/>
        <v>0</v>
      </c>
    </row>
    <row r="225" spans="1:26" x14ac:dyDescent="0.2">
      <c r="A225" s="274">
        <v>225</v>
      </c>
      <c r="B225" s="1198" t="s">
        <v>136</v>
      </c>
      <c r="C225" s="12"/>
      <c r="D225" s="12"/>
      <c r="E225" s="12"/>
      <c r="F225" s="12"/>
      <c r="G225" s="12"/>
      <c r="H225" s="12"/>
      <c r="I225" s="12"/>
      <c r="J225" s="12"/>
      <c r="K225" s="12"/>
      <c r="L225" s="1142"/>
      <c r="M225" s="115"/>
      <c r="N225" s="115">
        <v>5</v>
      </c>
      <c r="O225" s="115"/>
      <c r="P225" s="1109">
        <f t="shared" si="3"/>
        <v>5</v>
      </c>
      <c r="Q225" s="115"/>
      <c r="R225" s="115"/>
      <c r="S225" s="115">
        <v>5</v>
      </c>
      <c r="T225" s="115">
        <v>5</v>
      </c>
      <c r="U225" s="1145"/>
      <c r="V225" s="115"/>
      <c r="W225" s="115"/>
      <c r="X225" s="115"/>
      <c r="Y225" s="115"/>
      <c r="Z225" s="115">
        <f t="shared" si="2"/>
        <v>0</v>
      </c>
    </row>
    <row r="226" spans="1:26" x14ac:dyDescent="0.2">
      <c r="A226" s="1682">
        <v>226</v>
      </c>
      <c r="B226" s="1198" t="s">
        <v>913</v>
      </c>
      <c r="C226" s="12"/>
      <c r="D226" s="12"/>
      <c r="E226" s="12"/>
      <c r="F226" s="12"/>
      <c r="G226" s="12"/>
      <c r="H226" s="12"/>
      <c r="I226" s="12"/>
      <c r="J226" s="12"/>
      <c r="K226" s="12"/>
      <c r="L226" s="1142"/>
      <c r="M226" s="115"/>
      <c r="N226" s="115">
        <v>5</v>
      </c>
      <c r="O226" s="115"/>
      <c r="P226" s="1109">
        <f t="shared" si="3"/>
        <v>5</v>
      </c>
      <c r="Q226" s="115"/>
      <c r="R226" s="115"/>
      <c r="S226" s="115">
        <v>5</v>
      </c>
      <c r="T226" s="115">
        <v>5</v>
      </c>
      <c r="U226" s="1145"/>
      <c r="V226" s="115"/>
      <c r="W226" s="115"/>
      <c r="X226" s="115"/>
      <c r="Y226" s="115"/>
      <c r="Z226" s="115">
        <f t="shared" si="2"/>
        <v>0</v>
      </c>
    </row>
    <row r="227" spans="1:26" x14ac:dyDescent="0.2">
      <c r="A227" s="2127">
        <v>227</v>
      </c>
      <c r="B227" s="1199" t="s">
        <v>1107</v>
      </c>
      <c r="C227" s="12"/>
      <c r="D227" s="12"/>
      <c r="E227" s="12"/>
      <c r="F227" s="12"/>
      <c r="G227" s="12"/>
      <c r="H227" s="12"/>
      <c r="I227" s="12"/>
      <c r="J227" s="12"/>
      <c r="K227" s="12"/>
      <c r="L227" s="1142"/>
      <c r="M227" s="115"/>
      <c r="N227" s="115">
        <v>5</v>
      </c>
      <c r="O227" s="115"/>
      <c r="P227" s="1109">
        <f t="shared" si="3"/>
        <v>5</v>
      </c>
      <c r="Q227" s="115"/>
      <c r="R227" s="115"/>
      <c r="S227" s="115"/>
      <c r="T227" s="115"/>
      <c r="U227" s="1145"/>
      <c r="V227" s="115"/>
      <c r="W227" s="115"/>
      <c r="X227" s="115"/>
      <c r="Y227" s="115"/>
      <c r="Z227" s="115">
        <f t="shared" si="2"/>
        <v>0</v>
      </c>
    </row>
    <row r="228" spans="1:26" x14ac:dyDescent="0.2">
      <c r="A228" s="274">
        <v>228</v>
      </c>
      <c r="B228" s="1468" t="s">
        <v>137</v>
      </c>
      <c r="C228" s="12"/>
      <c r="D228" s="12"/>
      <c r="E228" s="12"/>
      <c r="F228" s="12"/>
      <c r="G228" s="12"/>
      <c r="H228" s="12"/>
      <c r="I228" s="12"/>
      <c r="J228" s="12"/>
      <c r="K228" s="12"/>
      <c r="L228" s="1141">
        <v>55</v>
      </c>
      <c r="M228" s="115"/>
      <c r="N228" s="115"/>
      <c r="O228" s="115"/>
      <c r="P228" s="1109">
        <f t="shared" si="3"/>
        <v>55</v>
      </c>
      <c r="Q228" s="115">
        <v>55</v>
      </c>
      <c r="R228" s="115"/>
      <c r="S228" s="115"/>
      <c r="T228" s="115">
        <v>55</v>
      </c>
      <c r="U228" s="1145"/>
      <c r="V228" s="115"/>
      <c r="W228" s="115"/>
      <c r="X228" s="115"/>
      <c r="Y228" s="115"/>
      <c r="Z228" s="115">
        <f t="shared" si="2"/>
        <v>0</v>
      </c>
    </row>
    <row r="229" spans="1:26" x14ac:dyDescent="0.2">
      <c r="A229" s="1682">
        <v>229</v>
      </c>
      <c r="B229" s="1468" t="s">
        <v>139</v>
      </c>
      <c r="C229" s="12"/>
      <c r="D229" s="12"/>
      <c r="E229" s="12"/>
      <c r="F229" s="12"/>
      <c r="G229" s="12"/>
      <c r="H229" s="12"/>
      <c r="I229" s="12"/>
      <c r="J229" s="12"/>
      <c r="K229" s="12"/>
      <c r="L229" s="1141">
        <v>55</v>
      </c>
      <c r="M229" s="115"/>
      <c r="N229" s="115"/>
      <c r="O229" s="115"/>
      <c r="P229" s="1109">
        <f t="shared" si="3"/>
        <v>55</v>
      </c>
      <c r="Q229" s="115">
        <v>55</v>
      </c>
      <c r="R229" s="115"/>
      <c r="S229" s="115"/>
      <c r="T229" s="115">
        <v>55</v>
      </c>
      <c r="U229" s="1145"/>
      <c r="V229" s="115"/>
      <c r="W229" s="115"/>
      <c r="X229" s="115"/>
      <c r="Y229" s="115"/>
      <c r="Z229" s="115">
        <f t="shared" si="2"/>
        <v>0</v>
      </c>
    </row>
    <row r="230" spans="1:26" x14ac:dyDescent="0.2">
      <c r="A230" s="2127">
        <v>230</v>
      </c>
      <c r="B230" s="1198" t="s">
        <v>140</v>
      </c>
      <c r="C230" s="12"/>
      <c r="D230" s="12"/>
      <c r="E230" s="12"/>
      <c r="F230" s="12"/>
      <c r="G230" s="12"/>
      <c r="H230" s="12"/>
      <c r="I230" s="12"/>
      <c r="J230" s="12"/>
      <c r="K230" s="12"/>
      <c r="L230" s="1142"/>
      <c r="M230" s="115"/>
      <c r="N230" s="115">
        <v>5</v>
      </c>
      <c r="O230" s="115"/>
      <c r="P230" s="1109">
        <f t="shared" si="3"/>
        <v>5</v>
      </c>
      <c r="Q230" s="115"/>
      <c r="R230" s="115"/>
      <c r="S230" s="115">
        <v>5</v>
      </c>
      <c r="T230" s="115">
        <v>5</v>
      </c>
      <c r="U230" s="1145"/>
      <c r="V230" s="115"/>
      <c r="W230" s="115"/>
      <c r="X230" s="115"/>
      <c r="Y230" s="115"/>
      <c r="Z230" s="115">
        <f t="shared" si="2"/>
        <v>0</v>
      </c>
    </row>
    <row r="231" spans="1:26" x14ac:dyDescent="0.2">
      <c r="A231" s="274">
        <v>231</v>
      </c>
      <c r="B231" s="1468" t="s">
        <v>758</v>
      </c>
      <c r="C231" s="12"/>
      <c r="D231" s="12"/>
      <c r="E231" s="12"/>
      <c r="F231" s="12"/>
      <c r="G231" s="12"/>
      <c r="H231" s="12"/>
      <c r="I231" s="12"/>
      <c r="J231" s="12"/>
      <c r="K231" s="12"/>
      <c r="L231" s="1141">
        <v>55</v>
      </c>
      <c r="M231" s="115"/>
      <c r="N231" s="115"/>
      <c r="O231" s="115"/>
      <c r="P231" s="1109">
        <f t="shared" si="3"/>
        <v>55</v>
      </c>
      <c r="Q231" s="115">
        <v>55</v>
      </c>
      <c r="R231" s="115"/>
      <c r="S231" s="115"/>
      <c r="T231" s="115">
        <v>55</v>
      </c>
      <c r="U231" s="1145"/>
      <c r="V231" s="115"/>
      <c r="W231" s="115"/>
      <c r="X231" s="115"/>
      <c r="Y231" s="115"/>
      <c r="Z231" s="115">
        <f t="shared" si="2"/>
        <v>0</v>
      </c>
    </row>
    <row r="232" spans="1:26" x14ac:dyDescent="0.2">
      <c r="A232" s="1682">
        <v>232</v>
      </c>
      <c r="B232" s="1198" t="s">
        <v>1108</v>
      </c>
      <c r="C232" s="12"/>
      <c r="D232" s="12"/>
      <c r="E232" s="12"/>
      <c r="F232" s="12"/>
      <c r="G232" s="12"/>
      <c r="H232" s="12"/>
      <c r="I232" s="12"/>
      <c r="J232" s="12"/>
      <c r="K232" s="12"/>
      <c r="L232" s="1142"/>
      <c r="M232" s="115"/>
      <c r="N232" s="115">
        <v>5</v>
      </c>
      <c r="O232" s="115"/>
      <c r="P232" s="1109">
        <f t="shared" si="3"/>
        <v>5</v>
      </c>
      <c r="Q232" s="115"/>
      <c r="R232" s="115"/>
      <c r="S232" s="115">
        <v>5</v>
      </c>
      <c r="T232" s="115">
        <v>5</v>
      </c>
      <c r="U232" s="1145"/>
      <c r="V232" s="115"/>
      <c r="W232" s="115"/>
      <c r="X232" s="115"/>
      <c r="Y232" s="115"/>
      <c r="Z232" s="115">
        <f t="shared" si="2"/>
        <v>0</v>
      </c>
    </row>
    <row r="233" spans="1:26" x14ac:dyDescent="0.2">
      <c r="A233" s="2127">
        <v>233</v>
      </c>
      <c r="B233" s="1468" t="s">
        <v>865</v>
      </c>
      <c r="C233" s="12"/>
      <c r="D233" s="12"/>
      <c r="E233" s="12"/>
      <c r="F233" s="12"/>
      <c r="G233" s="12"/>
      <c r="H233" s="12"/>
      <c r="I233" s="12"/>
      <c r="J233" s="12"/>
      <c r="K233" s="12"/>
      <c r="L233" s="1141">
        <v>55</v>
      </c>
      <c r="M233" s="115"/>
      <c r="N233" s="115"/>
      <c r="O233" s="115"/>
      <c r="P233" s="1109">
        <f t="shared" si="3"/>
        <v>55</v>
      </c>
      <c r="Q233" s="115">
        <v>55</v>
      </c>
      <c r="R233" s="115"/>
      <c r="S233" s="115"/>
      <c r="T233" s="115">
        <v>55</v>
      </c>
      <c r="U233" s="1145"/>
      <c r="V233" s="115"/>
      <c r="W233" s="115"/>
      <c r="X233" s="115"/>
      <c r="Y233" s="115"/>
      <c r="Z233" s="115">
        <f t="shared" si="2"/>
        <v>0</v>
      </c>
    </row>
    <row r="234" spans="1:26" x14ac:dyDescent="0.2">
      <c r="A234" s="274">
        <v>234</v>
      </c>
      <c r="B234" s="1198" t="s">
        <v>914</v>
      </c>
      <c r="C234" s="12"/>
      <c r="D234" s="12"/>
      <c r="E234" s="12"/>
      <c r="F234" s="12"/>
      <c r="G234" s="12"/>
      <c r="H234" s="12"/>
      <c r="I234" s="12"/>
      <c r="J234" s="12"/>
      <c r="K234" s="12"/>
      <c r="L234" s="1142"/>
      <c r="M234" s="115"/>
      <c r="N234" s="115">
        <v>5</v>
      </c>
      <c r="O234" s="115"/>
      <c r="P234" s="1109">
        <f t="shared" si="3"/>
        <v>5</v>
      </c>
      <c r="Q234" s="115"/>
      <c r="R234" s="115"/>
      <c r="S234" s="115">
        <v>5</v>
      </c>
      <c r="T234" s="115">
        <v>5</v>
      </c>
      <c r="U234" s="1145"/>
      <c r="V234" s="115"/>
      <c r="W234" s="115"/>
      <c r="X234" s="115"/>
      <c r="Y234" s="115"/>
      <c r="Z234" s="115">
        <f t="shared" si="2"/>
        <v>0</v>
      </c>
    </row>
    <row r="235" spans="1:26" x14ac:dyDescent="0.2">
      <c r="A235" s="1682">
        <v>235</v>
      </c>
      <c r="B235" s="1198" t="s">
        <v>141</v>
      </c>
      <c r="C235" s="12"/>
      <c r="D235" s="12"/>
      <c r="E235" s="12"/>
      <c r="F235" s="12"/>
      <c r="G235" s="12"/>
      <c r="H235" s="12"/>
      <c r="I235" s="12"/>
      <c r="J235" s="12"/>
      <c r="K235" s="12"/>
      <c r="L235" s="1142"/>
      <c r="M235" s="115"/>
      <c r="N235" s="115">
        <v>5</v>
      </c>
      <c r="O235" s="115"/>
      <c r="P235" s="1109">
        <f t="shared" si="3"/>
        <v>5</v>
      </c>
      <c r="Q235" s="115"/>
      <c r="R235" s="115"/>
      <c r="S235" s="115">
        <v>5</v>
      </c>
      <c r="T235" s="115">
        <v>5</v>
      </c>
      <c r="U235" s="1145"/>
      <c r="V235" s="115"/>
      <c r="W235" s="115"/>
      <c r="X235" s="115"/>
      <c r="Y235" s="115"/>
      <c r="Z235" s="115">
        <f t="shared" si="2"/>
        <v>0</v>
      </c>
    </row>
    <row r="236" spans="1:26" x14ac:dyDescent="0.2">
      <c r="A236" s="2127">
        <v>236</v>
      </c>
      <c r="B236" s="1468" t="s">
        <v>142</v>
      </c>
      <c r="C236" s="12"/>
      <c r="D236" s="12"/>
      <c r="E236" s="12"/>
      <c r="F236" s="12"/>
      <c r="G236" s="12"/>
      <c r="H236" s="12"/>
      <c r="I236" s="12"/>
      <c r="J236" s="12"/>
      <c r="K236" s="12"/>
      <c r="L236" s="1141">
        <v>55</v>
      </c>
      <c r="M236" s="115"/>
      <c r="N236" s="115"/>
      <c r="O236" s="115"/>
      <c r="P236" s="1109">
        <f t="shared" si="3"/>
        <v>55</v>
      </c>
      <c r="Q236" s="115">
        <v>55</v>
      </c>
      <c r="R236" s="115"/>
      <c r="S236" s="115"/>
      <c r="T236" s="115">
        <v>55</v>
      </c>
      <c r="U236" s="1145"/>
      <c r="V236" s="115"/>
      <c r="W236" s="115"/>
      <c r="X236" s="115"/>
      <c r="Y236" s="115"/>
      <c r="Z236" s="115">
        <f t="shared" si="2"/>
        <v>0</v>
      </c>
    </row>
    <row r="237" spans="1:26" x14ac:dyDescent="0.2">
      <c r="A237" s="274">
        <v>237</v>
      </c>
      <c r="B237" s="1468" t="s">
        <v>144</v>
      </c>
      <c r="C237" s="12"/>
      <c r="D237" s="12"/>
      <c r="E237" s="12"/>
      <c r="F237" s="12"/>
      <c r="G237" s="12"/>
      <c r="H237" s="12"/>
      <c r="I237" s="12"/>
      <c r="J237" s="12"/>
      <c r="K237" s="12"/>
      <c r="L237" s="1141">
        <v>55</v>
      </c>
      <c r="M237" s="115"/>
      <c r="N237" s="115"/>
      <c r="O237" s="115"/>
      <c r="P237" s="1109">
        <f t="shared" si="3"/>
        <v>55</v>
      </c>
      <c r="Q237" s="115">
        <v>55</v>
      </c>
      <c r="R237" s="115"/>
      <c r="S237" s="115"/>
      <c r="T237" s="115">
        <v>55</v>
      </c>
      <c r="U237" s="1145"/>
      <c r="V237" s="115"/>
      <c r="W237" s="115"/>
      <c r="X237" s="115"/>
      <c r="Y237" s="115"/>
      <c r="Z237" s="115">
        <f t="shared" si="2"/>
        <v>0</v>
      </c>
    </row>
    <row r="238" spans="1:26" x14ac:dyDescent="0.2">
      <c r="A238" s="1682">
        <v>238</v>
      </c>
      <c r="B238" s="1198" t="s">
        <v>145</v>
      </c>
      <c r="C238" s="12"/>
      <c r="D238" s="12"/>
      <c r="E238" s="12"/>
      <c r="F238" s="12"/>
      <c r="G238" s="12"/>
      <c r="H238" s="12"/>
      <c r="I238" s="12"/>
      <c r="J238" s="12"/>
      <c r="K238" s="12"/>
      <c r="L238" s="1142"/>
      <c r="M238" s="115"/>
      <c r="N238" s="115">
        <v>5</v>
      </c>
      <c r="O238" s="115"/>
      <c r="P238" s="1109">
        <f t="shared" si="3"/>
        <v>5</v>
      </c>
      <c r="Q238" s="115"/>
      <c r="R238" s="115"/>
      <c r="S238" s="115">
        <v>5</v>
      </c>
      <c r="T238" s="115">
        <v>5</v>
      </c>
      <c r="U238" s="1145"/>
      <c r="V238" s="115"/>
      <c r="W238" s="115"/>
      <c r="X238" s="115"/>
      <c r="Y238" s="115"/>
      <c r="Z238" s="115">
        <f t="shared" si="2"/>
        <v>0</v>
      </c>
    </row>
    <row r="239" spans="1:26" x14ac:dyDescent="0.2">
      <c r="A239" s="2127">
        <v>239</v>
      </c>
      <c r="B239" s="1468" t="s">
        <v>146</v>
      </c>
      <c r="C239" s="12"/>
      <c r="D239" s="12"/>
      <c r="E239" s="12"/>
      <c r="F239" s="12"/>
      <c r="G239" s="12"/>
      <c r="H239" s="12"/>
      <c r="I239" s="12"/>
      <c r="J239" s="12"/>
      <c r="K239" s="12"/>
      <c r="L239" s="1141">
        <v>55</v>
      </c>
      <c r="M239" s="115"/>
      <c r="N239" s="115"/>
      <c r="O239" s="115"/>
      <c r="P239" s="1109">
        <f t="shared" si="3"/>
        <v>55</v>
      </c>
      <c r="Q239" s="115">
        <v>55</v>
      </c>
      <c r="R239" s="115"/>
      <c r="S239" s="115"/>
      <c r="T239" s="115">
        <v>55</v>
      </c>
      <c r="U239" s="1145"/>
      <c r="V239" s="115"/>
      <c r="W239" s="115"/>
      <c r="X239" s="115"/>
      <c r="Y239" s="115"/>
      <c r="Z239" s="115">
        <f t="shared" si="2"/>
        <v>0</v>
      </c>
    </row>
    <row r="240" spans="1:26" x14ac:dyDescent="0.2">
      <c r="A240" s="274">
        <v>240</v>
      </c>
      <c r="B240" s="1468" t="s">
        <v>147</v>
      </c>
      <c r="C240" s="12"/>
      <c r="D240" s="12"/>
      <c r="E240" s="12"/>
      <c r="F240" s="12"/>
      <c r="G240" s="12"/>
      <c r="H240" s="12"/>
      <c r="I240" s="12"/>
      <c r="J240" s="12"/>
      <c r="K240" s="12"/>
      <c r="L240" s="1141">
        <v>55</v>
      </c>
      <c r="M240" s="115"/>
      <c r="N240" s="115"/>
      <c r="O240" s="115"/>
      <c r="P240" s="1109">
        <f t="shared" si="3"/>
        <v>55</v>
      </c>
      <c r="Q240" s="115">
        <v>55</v>
      </c>
      <c r="R240" s="115"/>
      <c r="S240" s="115"/>
      <c r="T240" s="115">
        <v>55</v>
      </c>
      <c r="U240" s="1145"/>
      <c r="V240" s="115"/>
      <c r="W240" s="115"/>
      <c r="X240" s="115"/>
      <c r="Y240" s="115"/>
      <c r="Z240" s="115">
        <f t="shared" si="2"/>
        <v>0</v>
      </c>
    </row>
    <row r="241" spans="1:26" x14ac:dyDescent="0.2">
      <c r="A241" s="1682">
        <v>241</v>
      </c>
      <c r="B241" s="1468" t="s">
        <v>661</v>
      </c>
      <c r="C241" s="12"/>
      <c r="D241" s="12"/>
      <c r="E241" s="12"/>
      <c r="F241" s="12"/>
      <c r="G241" s="12"/>
      <c r="H241" s="12"/>
      <c r="I241" s="12"/>
      <c r="J241" s="12"/>
      <c r="K241" s="12"/>
      <c r="L241" s="1141">
        <v>55</v>
      </c>
      <c r="M241" s="115"/>
      <c r="N241" s="115"/>
      <c r="O241" s="115"/>
      <c r="P241" s="1109">
        <f t="shared" si="3"/>
        <v>55</v>
      </c>
      <c r="Q241" s="115">
        <v>55</v>
      </c>
      <c r="R241" s="115"/>
      <c r="S241" s="115"/>
      <c r="T241" s="115">
        <v>55</v>
      </c>
      <c r="U241" s="1145"/>
      <c r="V241" s="115"/>
      <c r="W241" s="115"/>
      <c r="X241" s="115"/>
      <c r="Y241" s="115"/>
      <c r="Z241" s="115">
        <f t="shared" si="2"/>
        <v>0</v>
      </c>
    </row>
    <row r="242" spans="1:26" x14ac:dyDescent="0.2">
      <c r="A242" s="2127">
        <v>242</v>
      </c>
      <c r="B242" s="1468" t="s">
        <v>1110</v>
      </c>
      <c r="C242" s="12"/>
      <c r="D242" s="12"/>
      <c r="E242" s="12"/>
      <c r="F242" s="12"/>
      <c r="G242" s="12"/>
      <c r="H242" s="12"/>
      <c r="I242" s="12"/>
      <c r="J242" s="12"/>
      <c r="K242" s="12"/>
      <c r="L242" s="1141">
        <v>55</v>
      </c>
      <c r="M242" s="115"/>
      <c r="N242" s="115"/>
      <c r="O242" s="115"/>
      <c r="P242" s="1109">
        <f t="shared" si="3"/>
        <v>55</v>
      </c>
      <c r="Q242" s="115">
        <v>55</v>
      </c>
      <c r="R242" s="115"/>
      <c r="S242" s="115"/>
      <c r="T242" s="115">
        <v>55</v>
      </c>
      <c r="U242" s="1145"/>
      <c r="V242" s="115"/>
      <c r="W242" s="115"/>
      <c r="X242" s="115"/>
      <c r="Y242" s="115"/>
      <c r="Z242" s="115">
        <f t="shared" si="2"/>
        <v>0</v>
      </c>
    </row>
    <row r="243" spans="1:26" x14ac:dyDescent="0.2">
      <c r="A243" s="274">
        <v>243</v>
      </c>
      <c r="B243" s="1468" t="s">
        <v>149</v>
      </c>
      <c r="C243" s="12"/>
      <c r="D243" s="12"/>
      <c r="E243" s="12"/>
      <c r="F243" s="12"/>
      <c r="G243" s="12"/>
      <c r="H243" s="12"/>
      <c r="I243" s="12"/>
      <c r="J243" s="12"/>
      <c r="K243" s="12"/>
      <c r="L243" s="1141">
        <v>55</v>
      </c>
      <c r="M243" s="115"/>
      <c r="N243" s="115"/>
      <c r="O243" s="115"/>
      <c r="P243" s="1109">
        <f t="shared" si="3"/>
        <v>55</v>
      </c>
      <c r="Q243" s="115">
        <v>55</v>
      </c>
      <c r="R243" s="115"/>
      <c r="S243" s="115"/>
      <c r="T243" s="115">
        <v>55</v>
      </c>
      <c r="U243" s="1145"/>
      <c r="V243" s="115"/>
      <c r="W243" s="115"/>
      <c r="X243" s="115"/>
      <c r="Y243" s="115"/>
      <c r="Z243" s="115">
        <f t="shared" si="2"/>
        <v>0</v>
      </c>
    </row>
    <row r="244" spans="1:26" x14ac:dyDescent="0.2">
      <c r="A244" s="1682">
        <v>244</v>
      </c>
      <c r="B244" s="1199" t="s">
        <v>151</v>
      </c>
      <c r="C244" s="12"/>
      <c r="D244" s="12"/>
      <c r="E244" s="12"/>
      <c r="F244" s="12"/>
      <c r="G244" s="12"/>
      <c r="H244" s="12"/>
      <c r="I244" s="12"/>
      <c r="J244" s="12"/>
      <c r="K244" s="12"/>
      <c r="L244" s="1142"/>
      <c r="M244" s="115"/>
      <c r="N244" s="115">
        <v>5</v>
      </c>
      <c r="O244" s="115"/>
      <c r="P244" s="1109">
        <f t="shared" si="3"/>
        <v>5</v>
      </c>
      <c r="Q244" s="115"/>
      <c r="R244" s="115"/>
      <c r="S244" s="115"/>
      <c r="T244" s="115"/>
      <c r="U244" s="1145"/>
      <c r="V244" s="115"/>
      <c r="W244" s="115"/>
      <c r="X244" s="115"/>
      <c r="Y244" s="115"/>
      <c r="Z244" s="115">
        <f t="shared" si="2"/>
        <v>0</v>
      </c>
    </row>
    <row r="245" spans="1:26" x14ac:dyDescent="0.2">
      <c r="A245" s="2127">
        <v>245</v>
      </c>
      <c r="B245" s="1470" t="s">
        <v>1115</v>
      </c>
      <c r="C245" s="12"/>
      <c r="D245" s="12"/>
      <c r="E245" s="12"/>
      <c r="F245" s="12"/>
      <c r="G245" s="12"/>
      <c r="H245" s="12"/>
      <c r="I245" s="12"/>
      <c r="J245" s="12"/>
      <c r="K245" s="12"/>
      <c r="L245" s="1142"/>
      <c r="M245" s="115"/>
      <c r="N245" s="115"/>
      <c r="O245" s="115"/>
      <c r="P245" s="1109"/>
      <c r="Q245" s="115">
        <v>55</v>
      </c>
      <c r="R245" s="115"/>
      <c r="S245" s="115"/>
      <c r="T245" s="115">
        <v>55</v>
      </c>
      <c r="U245" s="1145"/>
      <c r="V245" s="115"/>
      <c r="W245" s="115"/>
      <c r="X245" s="115"/>
      <c r="Y245" s="115"/>
      <c r="Z245" s="115">
        <f t="shared" si="2"/>
        <v>0</v>
      </c>
    </row>
    <row r="246" spans="1:26" x14ac:dyDescent="0.2">
      <c r="A246" s="274">
        <v>246</v>
      </c>
      <c r="B246" s="1468" t="s">
        <v>154</v>
      </c>
      <c r="C246" s="12"/>
      <c r="D246" s="12"/>
      <c r="E246" s="12"/>
      <c r="F246" s="12"/>
      <c r="G246" s="12"/>
      <c r="H246" s="12"/>
      <c r="I246" s="12"/>
      <c r="J246" s="12"/>
      <c r="K246" s="12"/>
      <c r="L246" s="1141">
        <v>55</v>
      </c>
      <c r="M246" s="115"/>
      <c r="N246" s="115"/>
      <c r="O246" s="115"/>
      <c r="P246" s="1109">
        <f t="shared" si="3"/>
        <v>55</v>
      </c>
      <c r="Q246" s="115">
        <v>55</v>
      </c>
      <c r="R246" s="115"/>
      <c r="S246" s="115"/>
      <c r="T246" s="115">
        <v>55</v>
      </c>
      <c r="U246" s="1145"/>
      <c r="V246" s="115"/>
      <c r="W246" s="115"/>
      <c r="X246" s="115"/>
      <c r="Y246" s="115"/>
      <c r="Z246" s="115">
        <f t="shared" si="2"/>
        <v>0</v>
      </c>
    </row>
    <row r="247" spans="1:26" x14ac:dyDescent="0.2">
      <c r="A247" s="1682">
        <v>247</v>
      </c>
      <c r="B247" s="1198" t="s">
        <v>155</v>
      </c>
      <c r="C247" s="12"/>
      <c r="D247" s="12"/>
      <c r="E247" s="12"/>
      <c r="F247" s="12"/>
      <c r="G247" s="12"/>
      <c r="H247" s="12"/>
      <c r="I247" s="12"/>
      <c r="J247" s="12"/>
      <c r="K247" s="12"/>
      <c r="L247" s="1142"/>
      <c r="M247" s="115"/>
      <c r="N247" s="115">
        <v>5</v>
      </c>
      <c r="O247" s="115"/>
      <c r="P247" s="1109">
        <f t="shared" si="3"/>
        <v>5</v>
      </c>
      <c r="Q247" s="115"/>
      <c r="R247" s="115"/>
      <c r="S247" s="115">
        <v>5</v>
      </c>
      <c r="T247" s="115">
        <v>5</v>
      </c>
      <c r="U247" s="1145"/>
      <c r="V247" s="115"/>
      <c r="W247" s="115"/>
      <c r="X247" s="115"/>
      <c r="Y247" s="115"/>
      <c r="Z247" s="115">
        <f t="shared" si="2"/>
        <v>0</v>
      </c>
    </row>
    <row r="248" spans="1:26" x14ac:dyDescent="0.2">
      <c r="A248" s="2127">
        <v>248</v>
      </c>
      <c r="B248" s="1468"/>
      <c r="C248" s="12"/>
      <c r="D248" s="12"/>
      <c r="E248" s="12"/>
      <c r="F248" s="12"/>
      <c r="G248" s="12"/>
      <c r="H248" s="12"/>
      <c r="I248" s="12"/>
      <c r="J248" s="12"/>
      <c r="K248" s="12"/>
      <c r="L248" s="115"/>
      <c r="M248" s="115"/>
      <c r="N248" s="115"/>
      <c r="O248" s="115"/>
      <c r="P248" s="1109">
        <f t="shared" si="3"/>
        <v>0</v>
      </c>
      <c r="Q248" s="115"/>
      <c r="R248" s="115"/>
      <c r="S248" s="115"/>
      <c r="T248" s="1128"/>
      <c r="U248" s="1210"/>
      <c r="V248" s="1152">
        <v>3250</v>
      </c>
      <c r="W248" s="1152">
        <v>0</v>
      </c>
      <c r="X248" s="1152">
        <v>180</v>
      </c>
      <c r="Y248" s="1152">
        <v>0</v>
      </c>
      <c r="Z248" s="115">
        <f t="shared" si="2"/>
        <v>3430</v>
      </c>
    </row>
    <row r="249" spans="1:26" ht="16" thickBot="1" x14ac:dyDescent="0.25">
      <c r="A249" s="274">
        <v>249</v>
      </c>
      <c r="B249" s="1200"/>
      <c r="C249" s="741">
        <f>SUBTOTAL(9,C5:C134)</f>
        <v>3010</v>
      </c>
      <c r="D249" s="742">
        <f>SUBTOTAL(9,D5:D134)</f>
        <v>130</v>
      </c>
      <c r="E249" s="815"/>
      <c r="F249" s="741"/>
      <c r="G249" s="976">
        <f>SUBTOTAL(9,G5:G134)</f>
        <v>3240</v>
      </c>
      <c r="H249" s="976">
        <f>SUBTOTAL(9,H5:H134)</f>
        <v>45</v>
      </c>
      <c r="I249" s="976">
        <f>SUBTOTAL(9,I5:I134)</f>
        <v>105.03</v>
      </c>
      <c r="J249" s="977">
        <f>SUBTOTAL(9,J5:J134)</f>
        <v>120</v>
      </c>
      <c r="K249" s="741"/>
      <c r="L249" s="1063">
        <f>SUM(L138:L248)</f>
        <v>3795</v>
      </c>
      <c r="M249" s="1063">
        <f>SUM(M138:M248)</f>
        <v>0</v>
      </c>
      <c r="N249" s="1063">
        <f>SUM(N138:N248)</f>
        <v>140</v>
      </c>
      <c r="O249" s="1063">
        <f>SUM(O138:O248)</f>
        <v>0</v>
      </c>
      <c r="P249" s="283">
        <f>SUM(P138:P248)</f>
        <v>3935</v>
      </c>
      <c r="Q249" s="1147">
        <f t="shared" ref="Q249:T249" si="4">SUM(Q138:Q248)</f>
        <v>3355</v>
      </c>
      <c r="R249" s="1147">
        <f t="shared" si="4"/>
        <v>0</v>
      </c>
      <c r="S249" s="1147">
        <f t="shared" si="4"/>
        <v>140</v>
      </c>
      <c r="T249" s="1147">
        <f t="shared" si="4"/>
        <v>3440</v>
      </c>
      <c r="U249" s="1146"/>
      <c r="V249" s="1438">
        <f>SUM(V138:V248)</f>
        <v>3250</v>
      </c>
      <c r="W249" s="1438">
        <f>SUM(W138:W248)</f>
        <v>0</v>
      </c>
      <c r="X249" s="1438">
        <f>SUM(X138:X248)</f>
        <v>180</v>
      </c>
      <c r="Y249" s="1438">
        <f>SUM(Y138:Y248)</f>
        <v>0</v>
      </c>
      <c r="Z249" s="1147">
        <f>SUM(Z138:Z248)</f>
        <v>3430</v>
      </c>
    </row>
    <row r="250" spans="1:26" ht="17" thickTop="1" thickBot="1" x14ac:dyDescent="0.25">
      <c r="A250" s="1682">
        <v>250</v>
      </c>
      <c r="B250" s="1471"/>
      <c r="C250" s="2309">
        <f t="shared" ref="C250" si="5">+C249+D249</f>
        <v>3140</v>
      </c>
      <c r="D250" s="2310"/>
      <c r="E250" s="1162">
        <f>SUBTOTAL(9,E6:E249)</f>
        <v>90</v>
      </c>
      <c r="F250" s="1163"/>
      <c r="G250" s="2303">
        <f>+G249+H249+I249</f>
        <v>3390.03</v>
      </c>
      <c r="H250" s="2304"/>
      <c r="I250" s="2305"/>
      <c r="J250" s="1164">
        <f>+J249</f>
        <v>120</v>
      </c>
      <c r="K250" s="1163"/>
      <c r="L250" s="2311">
        <f>+L249+M249+N249</f>
        <v>3935</v>
      </c>
      <c r="M250" s="2312"/>
      <c r="N250" s="2313"/>
      <c r="O250" s="1165"/>
      <c r="P250" s="1186"/>
      <c r="Q250" s="2306">
        <f>+Q249+R249+S249</f>
        <v>3495</v>
      </c>
      <c r="R250" s="2307"/>
      <c r="S250" s="2308"/>
      <c r="T250" s="1165"/>
      <c r="U250" s="1144"/>
      <c r="V250" s="2300">
        <f>+V249+W249+X249</f>
        <v>3430</v>
      </c>
      <c r="W250" s="2301"/>
      <c r="X250" s="2302"/>
      <c r="Y250" s="1437"/>
      <c r="Z250" s="1143"/>
    </row>
    <row r="251" spans="1:26" ht="16" thickTop="1" x14ac:dyDescent="0.2">
      <c r="A251" s="2127">
        <v>251</v>
      </c>
      <c r="B251" s="2294" t="s">
        <v>1118</v>
      </c>
      <c r="C251" s="2295"/>
      <c r="D251" s="2295"/>
      <c r="E251" s="2295"/>
      <c r="F251" s="2295"/>
      <c r="G251" s="2295"/>
      <c r="H251" s="2295"/>
      <c r="I251" s="2295"/>
      <c r="J251" s="2295"/>
      <c r="K251" s="2295"/>
      <c r="L251" s="2295"/>
      <c r="M251" s="2295"/>
      <c r="N251" s="2295"/>
      <c r="O251" s="2295"/>
      <c r="P251" s="2295"/>
      <c r="Q251" s="2295"/>
      <c r="R251" s="2295"/>
      <c r="S251" s="2295"/>
      <c r="T251" s="2296"/>
      <c r="U251" s="1656"/>
      <c r="V251" s="1656"/>
      <c r="W251" s="1656"/>
      <c r="X251" s="1656"/>
      <c r="Y251" s="1656"/>
      <c r="Z251" s="1186"/>
    </row>
    <row r="252" spans="1:26" x14ac:dyDescent="0.2">
      <c r="A252" s="274">
        <v>252</v>
      </c>
      <c r="B252" s="57" t="s">
        <v>1119</v>
      </c>
      <c r="C252" s="1201"/>
      <c r="D252" s="1201"/>
      <c r="E252" s="1201"/>
      <c r="F252" s="1201"/>
      <c r="G252" s="1201"/>
      <c r="H252" s="1201"/>
      <c r="I252" s="1201"/>
      <c r="J252" s="1202"/>
      <c r="K252" s="1201"/>
      <c r="L252" s="1203"/>
      <c r="M252" s="1203"/>
      <c r="N252" s="1203"/>
      <c r="O252" s="1204"/>
      <c r="P252" s="188"/>
      <c r="Q252" s="1201"/>
      <c r="R252" s="1201"/>
      <c r="S252" s="1201"/>
      <c r="T252" s="783">
        <v>5</v>
      </c>
      <c r="U252" s="1656"/>
      <c r="V252" s="1656"/>
      <c r="W252" s="1656"/>
      <c r="X252" s="1656"/>
      <c r="Y252" s="1656"/>
      <c r="Z252" s="1186"/>
    </row>
    <row r="253" spans="1:26" x14ac:dyDescent="0.2">
      <c r="A253" s="1682">
        <v>253</v>
      </c>
      <c r="B253" s="57" t="s">
        <v>1116</v>
      </c>
      <c r="C253" s="1201"/>
      <c r="D253" s="1201"/>
      <c r="E253" s="1201"/>
      <c r="F253" s="1201"/>
      <c r="G253" s="1201"/>
      <c r="H253" s="1201"/>
      <c r="I253" s="1201"/>
      <c r="J253" s="1202"/>
      <c r="K253" s="1201"/>
      <c r="L253" s="1203"/>
      <c r="M253" s="1203"/>
      <c r="N253" s="1203"/>
      <c r="O253" s="1204"/>
      <c r="P253" s="188"/>
      <c r="Q253" s="1201"/>
      <c r="R253" s="1201"/>
      <c r="S253" s="1201"/>
      <c r="T253" s="783">
        <v>55</v>
      </c>
      <c r="U253" s="1656"/>
      <c r="V253" s="1656"/>
      <c r="W253" s="1656"/>
      <c r="X253" s="1656"/>
      <c r="Y253" s="1656"/>
      <c r="Z253" s="1186"/>
    </row>
    <row r="254" spans="1:26" x14ac:dyDescent="0.2">
      <c r="A254" s="2127">
        <v>254</v>
      </c>
      <c r="B254" s="57" t="s">
        <v>1114</v>
      </c>
      <c r="C254" s="1201"/>
      <c r="D254" s="1201"/>
      <c r="E254" s="1201"/>
      <c r="F254" s="1201"/>
      <c r="G254" s="1201"/>
      <c r="H254" s="1201"/>
      <c r="I254" s="1201"/>
      <c r="J254" s="1202"/>
      <c r="K254" s="1201"/>
      <c r="L254" s="1203"/>
      <c r="M254" s="1203"/>
      <c r="N254" s="1203"/>
      <c r="O254" s="1204"/>
      <c r="P254" s="188"/>
      <c r="Q254" s="1201"/>
      <c r="R254" s="1201"/>
      <c r="S254" s="1201"/>
      <c r="T254" s="783">
        <v>55</v>
      </c>
      <c r="U254" s="1656"/>
      <c r="V254" s="1656"/>
      <c r="W254" s="1656"/>
      <c r="X254" s="1656"/>
      <c r="Y254" s="1656"/>
      <c r="Z254" s="1186"/>
    </row>
    <row r="255" spans="1:26" x14ac:dyDescent="0.2">
      <c r="A255" s="274">
        <v>255</v>
      </c>
      <c r="B255" s="57" t="s">
        <v>1115</v>
      </c>
      <c r="C255" s="1201"/>
      <c r="D255" s="1201"/>
      <c r="E255" s="1201"/>
      <c r="F255" s="1201"/>
      <c r="G255" s="1201"/>
      <c r="H255" s="1201"/>
      <c r="I255" s="1201"/>
      <c r="J255" s="1202"/>
      <c r="K255" s="1201"/>
      <c r="L255" s="1203"/>
      <c r="M255" s="1203"/>
      <c r="N255" s="1203"/>
      <c r="O255" s="1204"/>
      <c r="P255" s="188"/>
      <c r="Q255" s="1201"/>
      <c r="R255" s="1201"/>
      <c r="S255" s="1201"/>
      <c r="T255" s="783">
        <v>55</v>
      </c>
      <c r="U255" s="1656"/>
      <c r="V255" s="1656"/>
      <c r="W255" s="1656"/>
      <c r="X255" s="1656"/>
      <c r="Y255" s="1656"/>
      <c r="Z255" s="1186"/>
    </row>
    <row r="256" spans="1:26" ht="16" thickBot="1" x14ac:dyDescent="0.25">
      <c r="A256" s="1682">
        <v>256</v>
      </c>
      <c r="B256" s="1472"/>
      <c r="C256" s="1205"/>
      <c r="D256" s="1205"/>
      <c r="E256" s="1205"/>
      <c r="F256" s="1205"/>
      <c r="G256" s="1205"/>
      <c r="H256" s="1205"/>
      <c r="I256" s="1205"/>
      <c r="J256" s="1206"/>
      <c r="K256" s="1205"/>
      <c r="L256" s="1207"/>
      <c r="M256" s="1207"/>
      <c r="N256" s="1207"/>
      <c r="O256" s="1208"/>
      <c r="P256" s="189"/>
      <c r="Q256" s="1205"/>
      <c r="R256" s="1205"/>
      <c r="S256" s="1205"/>
      <c r="T256" s="789">
        <f>SUM(T252:T255)</f>
        <v>170</v>
      </c>
      <c r="U256" s="1656"/>
      <c r="V256" s="1656"/>
      <c r="W256" s="1656"/>
      <c r="X256" s="1656"/>
      <c r="Y256" s="1656"/>
      <c r="Z256" s="1186"/>
    </row>
    <row r="257" spans="1:20" ht="16" thickTop="1" x14ac:dyDescent="0.2">
      <c r="A257" s="2127">
        <v>257</v>
      </c>
      <c r="B257" s="2297" t="s">
        <v>1117</v>
      </c>
      <c r="C257" s="2298"/>
      <c r="D257" s="2298"/>
      <c r="E257" s="2298"/>
      <c r="F257" s="2298"/>
      <c r="G257" s="2298"/>
      <c r="H257" s="2298"/>
      <c r="I257" s="2298"/>
      <c r="J257" s="2298"/>
      <c r="K257" s="2298"/>
      <c r="L257" s="2298"/>
      <c r="M257" s="2298"/>
      <c r="N257" s="2298"/>
      <c r="O257" s="2298"/>
      <c r="P257" s="2298"/>
      <c r="Q257" s="2298"/>
      <c r="R257" s="2298"/>
      <c r="S257" s="2298"/>
      <c r="T257" s="2299"/>
    </row>
    <row r="258" spans="1:20" x14ac:dyDescent="0.2">
      <c r="A258" s="274">
        <v>258</v>
      </c>
      <c r="B258" s="1209" t="s">
        <v>1096</v>
      </c>
      <c r="C258" s="188"/>
      <c r="D258" s="188"/>
      <c r="E258" s="188"/>
      <c r="F258" s="188"/>
      <c r="G258" s="188"/>
      <c r="H258" s="188"/>
      <c r="I258" s="188"/>
      <c r="J258" s="188"/>
      <c r="K258" s="188"/>
      <c r="L258" s="188"/>
      <c r="M258" s="188"/>
      <c r="N258" s="188"/>
      <c r="O258" s="188"/>
      <c r="P258" s="188"/>
      <c r="Q258" s="1201"/>
      <c r="R258" s="1201"/>
      <c r="S258" s="1201"/>
      <c r="T258" s="1166">
        <v>0</v>
      </c>
    </row>
    <row r="259" spans="1:20" x14ac:dyDescent="0.2">
      <c r="A259" s="1682">
        <v>259</v>
      </c>
      <c r="B259" s="1209" t="s">
        <v>1102</v>
      </c>
      <c r="C259" s="188"/>
      <c r="D259" s="188"/>
      <c r="E259" s="188"/>
      <c r="F259" s="188"/>
      <c r="G259" s="188"/>
      <c r="H259" s="188"/>
      <c r="I259" s="188"/>
      <c r="J259" s="188"/>
      <c r="K259" s="188"/>
      <c r="L259" s="188"/>
      <c r="M259" s="188"/>
      <c r="N259" s="188"/>
      <c r="O259" s="188"/>
      <c r="P259" s="188"/>
      <c r="Q259" s="1201"/>
      <c r="R259" s="1201"/>
      <c r="S259" s="1201"/>
      <c r="T259" s="1166">
        <v>0</v>
      </c>
    </row>
    <row r="260" spans="1:20" x14ac:dyDescent="0.2">
      <c r="A260" s="2127">
        <v>260</v>
      </c>
      <c r="B260" s="1401" t="s">
        <v>1008</v>
      </c>
      <c r="C260" s="188"/>
      <c r="D260" s="188"/>
      <c r="E260" s="188"/>
      <c r="F260" s="188"/>
      <c r="G260" s="188"/>
      <c r="H260" s="188"/>
      <c r="I260" s="188"/>
      <c r="J260" s="188"/>
      <c r="K260" s="188"/>
      <c r="L260" s="188"/>
      <c r="M260" s="188"/>
      <c r="N260" s="188"/>
      <c r="O260" s="188"/>
      <c r="P260" s="188"/>
      <c r="Q260" s="1201"/>
      <c r="R260" s="1201"/>
      <c r="S260" s="1201"/>
      <c r="T260" s="1166">
        <v>55</v>
      </c>
    </row>
    <row r="261" spans="1:20" x14ac:dyDescent="0.2">
      <c r="A261" s="274">
        <v>261</v>
      </c>
      <c r="B261" s="1401" t="s">
        <v>1009</v>
      </c>
      <c r="C261" s="188"/>
      <c r="D261" s="188"/>
      <c r="E261" s="188"/>
      <c r="F261" s="188"/>
      <c r="G261" s="188"/>
      <c r="H261" s="188"/>
      <c r="I261" s="188"/>
      <c r="J261" s="188"/>
      <c r="K261" s="188"/>
      <c r="L261" s="188"/>
      <c r="M261" s="188"/>
      <c r="N261" s="188"/>
      <c r="O261" s="188"/>
      <c r="P261" s="188"/>
      <c r="Q261" s="1201"/>
      <c r="R261" s="1201"/>
      <c r="S261" s="1201"/>
      <c r="T261" s="1166">
        <v>55</v>
      </c>
    </row>
    <row r="262" spans="1:20" x14ac:dyDescent="0.2">
      <c r="A262" s="1682">
        <v>262</v>
      </c>
      <c r="B262" s="1401" t="s">
        <v>915</v>
      </c>
      <c r="C262" s="188"/>
      <c r="D262" s="188"/>
      <c r="E262" s="188"/>
      <c r="F262" s="188"/>
      <c r="G262" s="188"/>
      <c r="H262" s="188"/>
      <c r="I262" s="188"/>
      <c r="J262" s="188"/>
      <c r="K262" s="188"/>
      <c r="L262" s="188"/>
      <c r="M262" s="188"/>
      <c r="N262" s="188"/>
      <c r="O262" s="188"/>
      <c r="P262" s="188"/>
      <c r="Q262" s="1201"/>
      <c r="R262" s="1201"/>
      <c r="S262" s="1201"/>
      <c r="T262" s="1166">
        <v>55</v>
      </c>
    </row>
    <row r="263" spans="1:20" x14ac:dyDescent="0.2">
      <c r="A263" s="2127">
        <v>263</v>
      </c>
      <c r="B263" s="1401" t="s">
        <v>907</v>
      </c>
      <c r="C263" s="188"/>
      <c r="D263" s="188"/>
      <c r="E263" s="188"/>
      <c r="F263" s="188"/>
      <c r="G263" s="188"/>
      <c r="H263" s="188"/>
      <c r="I263" s="188"/>
      <c r="J263" s="188"/>
      <c r="K263" s="188"/>
      <c r="L263" s="188"/>
      <c r="M263" s="188"/>
      <c r="N263" s="188"/>
      <c r="O263" s="188"/>
      <c r="P263" s="188"/>
      <c r="Q263" s="1201"/>
      <c r="R263" s="1201"/>
      <c r="S263" s="1201"/>
      <c r="T263" s="1166">
        <v>55</v>
      </c>
    </row>
    <row r="264" spans="1:20" x14ac:dyDescent="0.2">
      <c r="A264" s="274">
        <v>264</v>
      </c>
      <c r="B264" s="1209" t="s">
        <v>1010</v>
      </c>
      <c r="C264" s="188"/>
      <c r="D264" s="188"/>
      <c r="E264" s="188"/>
      <c r="F264" s="188"/>
      <c r="G264" s="188"/>
      <c r="H264" s="188"/>
      <c r="I264" s="188"/>
      <c r="J264" s="188"/>
      <c r="K264" s="188"/>
      <c r="L264" s="188"/>
      <c r="M264" s="188"/>
      <c r="N264" s="188"/>
      <c r="O264" s="188"/>
      <c r="P264" s="188"/>
      <c r="Q264" s="1201"/>
      <c r="R264" s="1201"/>
      <c r="S264" s="1201"/>
      <c r="T264" s="1166">
        <v>5</v>
      </c>
    </row>
    <row r="265" spans="1:20" x14ac:dyDescent="0.2">
      <c r="A265" s="1682">
        <v>265</v>
      </c>
      <c r="B265" s="1401" t="s">
        <v>98</v>
      </c>
      <c r="C265" s="188"/>
      <c r="D265" s="188"/>
      <c r="E265" s="188"/>
      <c r="F265" s="188"/>
      <c r="G265" s="188"/>
      <c r="H265" s="188"/>
      <c r="I265" s="188"/>
      <c r="J265" s="188"/>
      <c r="K265" s="188"/>
      <c r="L265" s="188"/>
      <c r="M265" s="188"/>
      <c r="N265" s="188"/>
      <c r="O265" s="188"/>
      <c r="P265" s="188"/>
      <c r="Q265" s="1201"/>
      <c r="R265" s="1201"/>
      <c r="S265" s="1201"/>
      <c r="T265" s="1166">
        <v>55</v>
      </c>
    </row>
    <row r="266" spans="1:20" x14ac:dyDescent="0.2">
      <c r="A266" s="2127">
        <v>266</v>
      </c>
      <c r="B266" s="1401" t="s">
        <v>116</v>
      </c>
      <c r="C266" s="188"/>
      <c r="D266" s="188"/>
      <c r="E266" s="188"/>
      <c r="F266" s="188"/>
      <c r="G266" s="188"/>
      <c r="H266" s="188"/>
      <c r="I266" s="188"/>
      <c r="J266" s="188"/>
      <c r="K266" s="188"/>
      <c r="L266" s="188"/>
      <c r="M266" s="188"/>
      <c r="N266" s="188"/>
      <c r="O266" s="188"/>
      <c r="P266" s="188"/>
      <c r="Q266" s="1201"/>
      <c r="R266" s="1201"/>
      <c r="S266" s="1201"/>
      <c r="T266" s="1166">
        <v>55</v>
      </c>
    </row>
    <row r="267" spans="1:20" x14ac:dyDescent="0.2">
      <c r="A267" s="274">
        <v>267</v>
      </c>
      <c r="B267" s="1401" t="s">
        <v>1011</v>
      </c>
      <c r="C267" s="188"/>
      <c r="D267" s="188"/>
      <c r="E267" s="188"/>
      <c r="F267" s="188"/>
      <c r="G267" s="188"/>
      <c r="H267" s="188"/>
      <c r="I267" s="188"/>
      <c r="J267" s="188"/>
      <c r="K267" s="188"/>
      <c r="L267" s="188"/>
      <c r="M267" s="188"/>
      <c r="N267" s="188"/>
      <c r="O267" s="188"/>
      <c r="P267" s="188"/>
      <c r="Q267" s="188"/>
      <c r="R267" s="188"/>
      <c r="S267" s="188"/>
      <c r="T267" s="1166">
        <v>55</v>
      </c>
    </row>
    <row r="268" spans="1:20" x14ac:dyDescent="0.2">
      <c r="A268" s="1682">
        <v>268</v>
      </c>
      <c r="B268" s="1401" t="s">
        <v>1105</v>
      </c>
      <c r="C268" s="188"/>
      <c r="D268" s="188"/>
      <c r="E268" s="188"/>
      <c r="F268" s="188"/>
      <c r="G268" s="188"/>
      <c r="H268" s="188"/>
      <c r="I268" s="188"/>
      <c r="J268" s="188"/>
      <c r="K268" s="188"/>
      <c r="L268" s="188"/>
      <c r="M268" s="188"/>
      <c r="N268" s="188"/>
      <c r="O268" s="188"/>
      <c r="P268" s="188"/>
      <c r="Q268" s="188"/>
      <c r="R268" s="188"/>
      <c r="S268" s="188"/>
      <c r="T268" s="1166">
        <v>55</v>
      </c>
    </row>
    <row r="269" spans="1:20" x14ac:dyDescent="0.2">
      <c r="A269" s="2127">
        <v>269</v>
      </c>
      <c r="B269" s="1401" t="s">
        <v>1106</v>
      </c>
      <c r="C269" s="188"/>
      <c r="D269" s="188"/>
      <c r="E269" s="188"/>
      <c r="F269" s="188"/>
      <c r="G269" s="188"/>
      <c r="H269" s="188"/>
      <c r="I269" s="188"/>
      <c r="J269" s="188"/>
      <c r="K269" s="188"/>
      <c r="L269" s="188"/>
      <c r="M269" s="188"/>
      <c r="N269" s="188"/>
      <c r="O269" s="188"/>
      <c r="P269" s="188"/>
      <c r="Q269" s="188"/>
      <c r="R269" s="188"/>
      <c r="S269" s="188"/>
      <c r="T269" s="1166">
        <v>55</v>
      </c>
    </row>
    <row r="270" spans="1:20" x14ac:dyDescent="0.2">
      <c r="A270" s="274">
        <v>270</v>
      </c>
      <c r="B270" s="1209" t="s">
        <v>1107</v>
      </c>
      <c r="C270" s="188"/>
      <c r="D270" s="188"/>
      <c r="E270" s="188"/>
      <c r="F270" s="188"/>
      <c r="G270" s="188"/>
      <c r="H270" s="188"/>
      <c r="I270" s="188"/>
      <c r="J270" s="188"/>
      <c r="K270" s="188"/>
      <c r="L270" s="188"/>
      <c r="M270" s="188"/>
      <c r="N270" s="188"/>
      <c r="O270" s="188"/>
      <c r="P270" s="188"/>
      <c r="Q270" s="188"/>
      <c r="R270" s="188"/>
      <c r="S270" s="188"/>
      <c r="T270" s="1166">
        <v>5</v>
      </c>
    </row>
    <row r="271" spans="1:20" x14ac:dyDescent="0.2">
      <c r="A271" s="1682">
        <v>271</v>
      </c>
      <c r="B271" s="1209" t="s">
        <v>151</v>
      </c>
      <c r="C271" s="188"/>
      <c r="D271" s="188"/>
      <c r="E271" s="188"/>
      <c r="F271" s="188"/>
      <c r="G271" s="188"/>
      <c r="H271" s="188"/>
      <c r="I271" s="188"/>
      <c r="J271" s="188"/>
      <c r="K271" s="188"/>
      <c r="L271" s="188"/>
      <c r="M271" s="188"/>
      <c r="N271" s="188"/>
      <c r="O271" s="188"/>
      <c r="P271" s="188"/>
      <c r="Q271" s="188"/>
      <c r="R271" s="188"/>
      <c r="S271" s="188"/>
      <c r="T271" s="1166">
        <v>5</v>
      </c>
    </row>
    <row r="272" spans="1:20" ht="16" thickBot="1" x14ac:dyDescent="0.25">
      <c r="A272" s="2127">
        <v>272</v>
      </c>
      <c r="B272" s="1472"/>
      <c r="C272" s="189"/>
      <c r="D272" s="189"/>
      <c r="E272" s="189"/>
      <c r="F272" s="189"/>
      <c r="G272" s="189"/>
      <c r="H272" s="189"/>
      <c r="I272" s="189"/>
      <c r="J272" s="189"/>
      <c r="K272" s="189"/>
      <c r="L272" s="189"/>
      <c r="M272" s="189"/>
      <c r="N272" s="189"/>
      <c r="O272" s="189"/>
      <c r="P272" s="189"/>
      <c r="Q272" s="189"/>
      <c r="R272" s="189"/>
      <c r="S272" s="189"/>
      <c r="T272" s="1167">
        <f>SUM(T258:T271)</f>
        <v>510</v>
      </c>
    </row>
    <row r="273" ht="16" thickTop="1" x14ac:dyDescent="0.2"/>
  </sheetData>
  <autoFilter ref="A2:Z2" xr:uid="{00000000-0001-0000-0400-000000000000}"/>
  <mergeCells count="23">
    <mergeCell ref="B1:Z1"/>
    <mergeCell ref="P3:T3"/>
    <mergeCell ref="U3:Z3"/>
    <mergeCell ref="B251:T251"/>
    <mergeCell ref="B257:T257"/>
    <mergeCell ref="U4:Z4"/>
    <mergeCell ref="V17:Z17"/>
    <mergeCell ref="V18:Z18"/>
    <mergeCell ref="V250:X250"/>
    <mergeCell ref="G250:I250"/>
    <mergeCell ref="Q17:T17"/>
    <mergeCell ref="Q18:T18"/>
    <mergeCell ref="Q250:S250"/>
    <mergeCell ref="Q4:T4"/>
    <mergeCell ref="C250:D250"/>
    <mergeCell ref="L250:N250"/>
    <mergeCell ref="C4:E4"/>
    <mergeCell ref="F4:J4"/>
    <mergeCell ref="K4:O4"/>
    <mergeCell ref="G17:J17"/>
    <mergeCell ref="G18:J18"/>
    <mergeCell ref="L17:O17"/>
    <mergeCell ref="L18:O18"/>
  </mergeCells>
  <phoneticPr fontId="52" type="noConversion"/>
  <conditionalFormatting sqref="B1">
    <cfRule type="cellIs" dxfId="145" priority="7" operator="equal">
      <formula>0</formula>
    </cfRule>
  </conditionalFormatting>
  <conditionalFormatting sqref="B34">
    <cfRule type="containsText" dxfId="144" priority="22" operator="containsText" text="blank">
      <formula>NOT(ISERROR(SEARCH("blank",B34)))</formula>
    </cfRule>
  </conditionalFormatting>
  <conditionalFormatting sqref="B57">
    <cfRule type="containsText" dxfId="143" priority="1" operator="containsText" text="(blank)">
      <formula>NOT(ISERROR(SEARCH("(blank)",B57)))</formula>
    </cfRule>
  </conditionalFormatting>
  <hyperlinks>
    <hyperlink ref="B1" location="Summary!A1" display="Summary!A1" xr:uid="{B1A06A69-F391-4A1D-93BB-93C44E3FD837}"/>
    <hyperlink ref="W249" location="Summary!T14" display="Summary!T14" xr:uid="{1C75CCAC-5288-432F-84C8-7E81F3040676}"/>
    <hyperlink ref="X249" location="Summary!T13" display="Summary!T13" xr:uid="{87A641E6-36D2-49FC-9EA9-A7578842E00E}"/>
    <hyperlink ref="V249" location="Summary!T12" display="Summary!T12" xr:uid="{E980036D-A11E-4F0D-B998-4B1F0785BD4F}"/>
    <hyperlink ref="Y249" location="Summary!T15" display="Summary!T15" xr:uid="{B2D6D9EE-C80C-4545-8BF2-6AF108630B6D}"/>
  </hyperlinks>
  <printOptions horizontalCentered="1"/>
  <pageMargins left="0.31496062992125984" right="0.31496062992125984" top="0.31496062992125984" bottom="0.51181102362204722" header="0.31496062992125984" footer="0.31496062992125984"/>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FF00"/>
    <pageSetUpPr fitToPage="1"/>
  </sheetPr>
  <dimension ref="A1:V31"/>
  <sheetViews>
    <sheetView zoomScaleNormal="100" zoomScaleSheetLayoutView="100" workbookViewId="0">
      <pane xSplit="2" ySplit="4" topLeftCell="M20" activePane="bottomRight" state="frozen"/>
      <selection activeCell="Y257" sqref="Y257"/>
      <selection pane="topRight" activeCell="Y257" sqref="Y257"/>
      <selection pane="bottomLeft" activeCell="Y257" sqref="Y257"/>
      <selection pane="bottomRight" activeCell="Y257" sqref="Y257"/>
    </sheetView>
  </sheetViews>
  <sheetFormatPr baseColWidth="10" defaultColWidth="20.83203125" defaultRowHeight="15" x14ac:dyDescent="0.2"/>
  <cols>
    <col min="1" max="1" width="6.83203125" style="14" customWidth="1"/>
    <col min="2" max="2" width="47.1640625" style="14" hidden="1" customWidth="1"/>
    <col min="3" max="3" width="7.83203125" style="14" hidden="1" customWidth="1"/>
    <col min="4" max="5" width="6.5" style="14" hidden="1" customWidth="1"/>
    <col min="6" max="6" width="11.5" style="14" hidden="1" customWidth="1"/>
    <col min="7" max="9" width="6.5" style="14" hidden="1" customWidth="1"/>
    <col min="10" max="11" width="6.6640625" style="14" hidden="1" customWidth="1"/>
    <col min="12" max="12" width="5" style="14" hidden="1" customWidth="1"/>
    <col min="13" max="13" width="37.33203125" style="14" bestFit="1" customWidth="1"/>
    <col min="14" max="14" width="10.33203125" style="14" hidden="1" customWidth="1"/>
    <col min="15" max="15" width="5" style="14" hidden="1" customWidth="1"/>
    <col min="16" max="16" width="10.33203125" style="14" hidden="1" customWidth="1"/>
    <col min="17" max="17" width="7.83203125" style="14" bestFit="1" customWidth="1"/>
    <col min="18" max="18" width="3" style="14" customWidth="1"/>
    <col min="19" max="19" width="24.83203125" style="14" bestFit="1" customWidth="1"/>
    <col min="20" max="20" width="9" style="1911" bestFit="1" customWidth="1"/>
    <col min="21" max="21" width="9" style="1911" customWidth="1"/>
    <col min="22" max="22" width="7.83203125" style="1911" bestFit="1" customWidth="1"/>
    <col min="23" max="16384" width="20.83203125" style="14"/>
  </cols>
  <sheetData>
    <row r="1" spans="1:22" s="1909" customFormat="1" ht="24" x14ac:dyDescent="0.2">
      <c r="A1" s="1907"/>
      <c r="B1" s="1908"/>
      <c r="C1" s="1908"/>
      <c r="D1" s="1908"/>
      <c r="E1" s="1908"/>
      <c r="F1" s="1908"/>
      <c r="G1" s="1908"/>
      <c r="H1" s="1908"/>
      <c r="I1" s="1908"/>
      <c r="J1" s="1908"/>
      <c r="K1" s="1908"/>
      <c r="L1" s="1908"/>
      <c r="M1" s="2314" t="s">
        <v>725</v>
      </c>
      <c r="N1" s="2314"/>
      <c r="O1" s="2314"/>
      <c r="P1" s="2314"/>
      <c r="Q1" s="2314"/>
      <c r="R1" s="2314"/>
      <c r="S1" s="2314"/>
      <c r="T1" s="2314"/>
      <c r="U1" s="2314"/>
      <c r="V1" s="2314"/>
    </row>
    <row r="2" spans="1:22" x14ac:dyDescent="0.2">
      <c r="A2" s="1910"/>
      <c r="B2" s="1013" t="s">
        <v>62</v>
      </c>
      <c r="C2" s="1013"/>
      <c r="D2" s="1013"/>
      <c r="E2" s="1013"/>
      <c r="F2" s="1013"/>
      <c r="G2" s="1013"/>
      <c r="H2" s="1013"/>
      <c r="I2" s="1013"/>
      <c r="J2" s="1013"/>
      <c r="K2" s="1013"/>
      <c r="L2" s="345"/>
      <c r="M2" s="2319" t="s">
        <v>62</v>
      </c>
      <c r="N2" s="2320"/>
      <c r="O2" s="2320"/>
      <c r="P2" s="2320"/>
      <c r="Q2" s="2321"/>
      <c r="R2"/>
      <c r="S2" s="2319" t="s">
        <v>62</v>
      </c>
      <c r="T2" s="2320"/>
      <c r="U2" s="2320"/>
      <c r="V2" s="2321"/>
    </row>
    <row r="3" spans="1:22" x14ac:dyDescent="0.2">
      <c r="A3" s="1907"/>
      <c r="B3" s="6"/>
      <c r="C3" s="8">
        <v>2014</v>
      </c>
      <c r="D3" s="8">
        <v>2015</v>
      </c>
      <c r="E3" s="8">
        <v>2016</v>
      </c>
      <c r="F3" s="8" t="s">
        <v>157</v>
      </c>
      <c r="G3" s="8">
        <v>2017</v>
      </c>
      <c r="H3" s="8">
        <v>2018</v>
      </c>
      <c r="I3" s="8">
        <v>2019</v>
      </c>
      <c r="J3" s="8">
        <v>2020</v>
      </c>
      <c r="K3" s="8">
        <v>2021</v>
      </c>
      <c r="L3" s="8">
        <v>2022</v>
      </c>
      <c r="M3" s="6"/>
      <c r="N3" s="2294" t="s">
        <v>481</v>
      </c>
      <c r="O3" s="2295"/>
      <c r="P3" s="2295"/>
      <c r="Q3" s="2296"/>
      <c r="R3"/>
      <c r="S3" s="1256"/>
      <c r="T3" s="2294" t="s">
        <v>481</v>
      </c>
      <c r="U3" s="2296"/>
      <c r="V3" s="1473" t="s">
        <v>519</v>
      </c>
    </row>
    <row r="4" spans="1:22" x14ac:dyDescent="0.2">
      <c r="A4" s="1910"/>
      <c r="B4" s="6"/>
      <c r="C4" s="1014" t="s">
        <v>481</v>
      </c>
      <c r="D4" s="1015"/>
      <c r="E4" s="1015"/>
      <c r="F4" s="1015"/>
      <c r="G4" s="1015"/>
      <c r="H4" s="1015"/>
      <c r="I4" s="1015"/>
      <c r="J4" s="1015"/>
      <c r="K4" s="1016"/>
      <c r="L4" s="51"/>
      <c r="M4" s="6"/>
      <c r="N4" s="338">
        <v>2019</v>
      </c>
      <c r="O4" s="338">
        <v>2020</v>
      </c>
      <c r="P4" s="338">
        <v>2021</v>
      </c>
      <c r="Q4" s="317">
        <v>2022</v>
      </c>
      <c r="R4" s="870"/>
      <c r="S4" s="1340"/>
      <c r="T4" s="317">
        <v>2023</v>
      </c>
      <c r="U4" s="317">
        <v>2024</v>
      </c>
      <c r="V4" s="317">
        <v>2025</v>
      </c>
    </row>
    <row r="5" spans="1:22" ht="14.5" customHeight="1" x14ac:dyDescent="0.2">
      <c r="A5" s="1907"/>
      <c r="B5" s="15" t="s">
        <v>63</v>
      </c>
      <c r="C5" s="16">
        <v>1097.5</v>
      </c>
      <c r="D5" s="6">
        <v>1243</v>
      </c>
      <c r="E5" s="6">
        <v>1238</v>
      </c>
      <c r="F5" s="6">
        <v>1250</v>
      </c>
      <c r="G5" s="6">
        <v>1018</v>
      </c>
      <c r="H5" s="6">
        <v>949</v>
      </c>
      <c r="I5" s="6">
        <v>757</v>
      </c>
      <c r="J5" s="6"/>
      <c r="K5" s="6">
        <v>1040</v>
      </c>
      <c r="L5" s="6"/>
      <c r="M5" s="423" t="s">
        <v>63</v>
      </c>
      <c r="N5" s="82">
        <v>757</v>
      </c>
      <c r="O5" s="1018" t="s">
        <v>922</v>
      </c>
      <c r="P5" s="82">
        <v>1040</v>
      </c>
      <c r="Q5" s="115">
        <v>996</v>
      </c>
      <c r="R5"/>
      <c r="S5" s="15" t="s">
        <v>63</v>
      </c>
      <c r="T5" s="1064"/>
      <c r="U5" s="1064"/>
      <c r="V5" s="1064"/>
    </row>
    <row r="6" spans="1:22" x14ac:dyDescent="0.2">
      <c r="A6" s="1910"/>
      <c r="B6" s="15" t="s">
        <v>681</v>
      </c>
      <c r="C6" s="73">
        <v>24</v>
      </c>
      <c r="D6" s="6">
        <v>32</v>
      </c>
      <c r="E6" s="6">
        <v>32</v>
      </c>
      <c r="F6" s="6">
        <v>32</v>
      </c>
      <c r="G6" s="6">
        <v>32</v>
      </c>
      <c r="H6" s="6">
        <v>28</v>
      </c>
      <c r="I6" s="6">
        <v>20</v>
      </c>
      <c r="J6" s="6"/>
      <c r="K6" s="6">
        <v>24</v>
      </c>
      <c r="L6" s="6"/>
      <c r="M6" s="423" t="s">
        <v>681</v>
      </c>
      <c r="N6" s="82">
        <v>20</v>
      </c>
      <c r="O6" s="1019"/>
      <c r="P6" s="82">
        <v>24</v>
      </c>
      <c r="Q6" s="115">
        <v>16</v>
      </c>
      <c r="R6"/>
      <c r="S6" s="15" t="s">
        <v>681</v>
      </c>
      <c r="T6" s="1064"/>
      <c r="U6" s="1064"/>
      <c r="V6" s="1064"/>
    </row>
    <row r="7" spans="1:22" x14ac:dyDescent="0.2">
      <c r="A7" s="1907"/>
      <c r="B7" s="354" t="s">
        <v>759</v>
      </c>
      <c r="C7" s="73">
        <v>30</v>
      </c>
      <c r="D7" s="6">
        <v>48</v>
      </c>
      <c r="E7" s="6">
        <v>36</v>
      </c>
      <c r="F7" s="6">
        <v>36</v>
      </c>
      <c r="G7" s="6">
        <v>30</v>
      </c>
      <c r="H7" s="6">
        <v>42</v>
      </c>
      <c r="I7" s="6">
        <v>24</v>
      </c>
      <c r="J7" s="6"/>
      <c r="K7" s="6"/>
      <c r="L7" s="6"/>
      <c r="M7" s="335" t="s">
        <v>759</v>
      </c>
      <c r="N7" s="82">
        <v>24</v>
      </c>
      <c r="O7" s="1019"/>
      <c r="P7" s="82"/>
      <c r="Q7" s="115"/>
      <c r="R7"/>
      <c r="S7" s="354" t="s">
        <v>759</v>
      </c>
      <c r="T7" s="1064"/>
      <c r="U7" s="1064"/>
      <c r="V7" s="1064"/>
    </row>
    <row r="8" spans="1:22" x14ac:dyDescent="0.2">
      <c r="A8" s="1910"/>
      <c r="B8" s="6" t="s">
        <v>762</v>
      </c>
      <c r="C8" s="73">
        <v>32</v>
      </c>
      <c r="D8" s="6">
        <v>75</v>
      </c>
      <c r="E8" s="6">
        <v>35</v>
      </c>
      <c r="F8" s="6">
        <v>35</v>
      </c>
      <c r="G8" s="6">
        <v>32</v>
      </c>
      <c r="H8" s="6">
        <v>28</v>
      </c>
      <c r="I8" s="6">
        <v>32</v>
      </c>
      <c r="J8" s="6"/>
      <c r="K8" s="6">
        <v>24</v>
      </c>
      <c r="L8" s="6"/>
      <c r="M8" s="82" t="s">
        <v>762</v>
      </c>
      <c r="N8" s="82">
        <v>32</v>
      </c>
      <c r="O8" s="1019"/>
      <c r="P8" s="82">
        <v>24</v>
      </c>
      <c r="Q8" s="16">
        <v>30</v>
      </c>
      <c r="R8"/>
      <c r="S8" s="6" t="s">
        <v>762</v>
      </c>
      <c r="T8" s="1064"/>
      <c r="U8" s="1064"/>
      <c r="V8" s="1064"/>
    </row>
    <row r="9" spans="1:22" x14ac:dyDescent="0.2">
      <c r="A9" s="1907"/>
      <c r="B9" s="6" t="s">
        <v>761</v>
      </c>
      <c r="C9" s="73"/>
      <c r="D9" s="6"/>
      <c r="E9" s="6"/>
      <c r="F9" s="6"/>
      <c r="G9" s="6"/>
      <c r="H9" s="6"/>
      <c r="I9" s="6"/>
      <c r="J9" s="6"/>
      <c r="K9" s="6">
        <v>36</v>
      </c>
      <c r="L9" s="6"/>
      <c r="M9" s="82" t="s">
        <v>761</v>
      </c>
      <c r="N9" s="82"/>
      <c r="O9" s="1019"/>
      <c r="P9" s="82">
        <v>36</v>
      </c>
      <c r="Q9" s="16">
        <v>28</v>
      </c>
      <c r="R9"/>
      <c r="S9" s="6" t="s">
        <v>761</v>
      </c>
      <c r="T9" s="1064"/>
      <c r="U9" s="1064"/>
      <c r="V9" s="1064"/>
    </row>
    <row r="10" spans="1:22" x14ac:dyDescent="0.2">
      <c r="A10" s="1910"/>
      <c r="B10" s="6" t="s">
        <v>761</v>
      </c>
      <c r="C10" s="73">
        <v>46</v>
      </c>
      <c r="D10" s="6">
        <v>0</v>
      </c>
      <c r="E10" s="6">
        <v>32</v>
      </c>
      <c r="F10" s="6">
        <v>32</v>
      </c>
      <c r="G10" s="6">
        <v>42</v>
      </c>
      <c r="H10" s="6">
        <v>36</v>
      </c>
      <c r="I10" s="6">
        <v>18</v>
      </c>
      <c r="J10" s="6"/>
      <c r="K10" s="6">
        <v>30</v>
      </c>
      <c r="L10" s="6"/>
      <c r="M10" s="82" t="s">
        <v>761</v>
      </c>
      <c r="N10" s="82">
        <v>18</v>
      </c>
      <c r="O10" s="1019"/>
      <c r="P10" s="82">
        <v>30</v>
      </c>
      <c r="Q10" s="16">
        <v>37</v>
      </c>
      <c r="R10"/>
      <c r="S10" s="6" t="s">
        <v>761</v>
      </c>
      <c r="T10" s="1064"/>
      <c r="U10" s="1064"/>
      <c r="V10" s="1064"/>
    </row>
    <row r="11" spans="1:22" x14ac:dyDescent="0.2">
      <c r="A11" s="1907"/>
      <c r="B11" s="1017" t="s">
        <v>764</v>
      </c>
      <c r="C11" s="16">
        <v>32</v>
      </c>
      <c r="D11" s="6">
        <v>30</v>
      </c>
      <c r="E11" s="6">
        <v>32</v>
      </c>
      <c r="F11" s="6">
        <v>32</v>
      </c>
      <c r="G11" s="6">
        <v>28</v>
      </c>
      <c r="H11" s="6"/>
      <c r="I11" s="6">
        <v>30</v>
      </c>
      <c r="J11" s="6"/>
      <c r="K11" s="6">
        <v>24</v>
      </c>
      <c r="L11" s="6"/>
      <c r="M11" s="82" t="s">
        <v>764</v>
      </c>
      <c r="N11" s="82">
        <v>30</v>
      </c>
      <c r="O11" s="1019"/>
      <c r="P11" s="82">
        <v>24</v>
      </c>
      <c r="Q11" s="16">
        <v>28</v>
      </c>
      <c r="R11"/>
      <c r="S11" s="6" t="s">
        <v>764</v>
      </c>
      <c r="T11" s="1064"/>
      <c r="U11" s="1064"/>
      <c r="V11" s="1064"/>
    </row>
    <row r="12" spans="1:22" x14ac:dyDescent="0.2">
      <c r="A12" s="1910"/>
      <c r="B12" s="423" t="s">
        <v>852</v>
      </c>
      <c r="C12" s="16">
        <v>197</v>
      </c>
      <c r="D12" s="82">
        <v>210</v>
      </c>
      <c r="E12" s="82">
        <v>144</v>
      </c>
      <c r="F12" s="82">
        <v>200</v>
      </c>
      <c r="G12" s="82">
        <v>201</v>
      </c>
      <c r="H12" s="82">
        <v>100</v>
      </c>
      <c r="I12" s="82">
        <v>93</v>
      </c>
      <c r="J12" s="6"/>
      <c r="K12" s="6">
        <v>99</v>
      </c>
      <c r="L12" s="6"/>
      <c r="M12" s="423" t="s">
        <v>923</v>
      </c>
      <c r="N12" s="82">
        <v>93</v>
      </c>
      <c r="O12" s="1019"/>
      <c r="P12" s="82">
        <v>99</v>
      </c>
      <c r="Q12" s="16">
        <v>105.5</v>
      </c>
      <c r="R12"/>
      <c r="S12" s="423" t="s">
        <v>923</v>
      </c>
      <c r="T12" s="1064"/>
      <c r="U12" s="1064"/>
      <c r="V12" s="1064"/>
    </row>
    <row r="13" spans="1:22" x14ac:dyDescent="0.2">
      <c r="A13" s="1907"/>
      <c r="B13" s="15" t="s">
        <v>69</v>
      </c>
      <c r="C13" s="16">
        <v>42</v>
      </c>
      <c r="D13" s="6">
        <v>42</v>
      </c>
      <c r="E13" s="6">
        <v>48</v>
      </c>
      <c r="F13" s="6">
        <v>48</v>
      </c>
      <c r="G13" s="6">
        <v>48</v>
      </c>
      <c r="H13" s="6">
        <v>42</v>
      </c>
      <c r="I13" s="6">
        <v>36</v>
      </c>
      <c r="J13" s="6"/>
      <c r="K13" s="6">
        <v>30</v>
      </c>
      <c r="L13" s="6"/>
      <c r="M13" s="423" t="s">
        <v>69</v>
      </c>
      <c r="N13" s="82">
        <v>36</v>
      </c>
      <c r="O13" s="1019"/>
      <c r="P13" s="82">
        <v>30</v>
      </c>
      <c r="Q13" s="16">
        <v>24</v>
      </c>
      <c r="R13"/>
      <c r="S13" s="15" t="s">
        <v>69</v>
      </c>
      <c r="T13" s="1064"/>
      <c r="U13" s="1064"/>
      <c r="V13" s="1064"/>
    </row>
    <row r="14" spans="1:22" x14ac:dyDescent="0.2">
      <c r="A14" s="1910"/>
      <c r="B14" s="15" t="s">
        <v>921</v>
      </c>
      <c r="C14" s="16">
        <f>666-144</f>
        <v>522</v>
      </c>
      <c r="D14" s="6">
        <v>522</v>
      </c>
      <c r="E14" s="6">
        <v>412</v>
      </c>
      <c r="F14" s="6">
        <v>412</v>
      </c>
      <c r="G14" s="6">
        <v>431</v>
      </c>
      <c r="H14" s="6">
        <v>432</v>
      </c>
      <c r="I14" s="6">
        <v>432</v>
      </c>
      <c r="J14" s="6"/>
      <c r="K14" s="6">
        <v>420</v>
      </c>
      <c r="L14" s="6"/>
      <c r="M14" s="423" t="s">
        <v>921</v>
      </c>
      <c r="N14" s="82">
        <v>432</v>
      </c>
      <c r="O14" s="1019"/>
      <c r="P14" s="82">
        <v>420</v>
      </c>
      <c r="Q14" s="2315">
        <v>300.5</v>
      </c>
      <c r="R14"/>
      <c r="S14" s="15" t="s">
        <v>921</v>
      </c>
      <c r="T14" s="2317"/>
      <c r="U14" s="1154"/>
      <c r="V14" s="2317"/>
    </row>
    <row r="15" spans="1:22" x14ac:dyDescent="0.2">
      <c r="A15" s="1907"/>
      <c r="B15" s="354" t="s">
        <v>765</v>
      </c>
      <c r="C15" s="73"/>
      <c r="D15" s="6"/>
      <c r="E15" s="6"/>
      <c r="F15" s="6"/>
      <c r="G15" s="6"/>
      <c r="H15" s="6"/>
      <c r="I15" s="6">
        <v>36</v>
      </c>
      <c r="J15" s="6"/>
      <c r="K15" s="6">
        <v>27</v>
      </c>
      <c r="L15" s="6"/>
      <c r="M15" s="335" t="s">
        <v>765</v>
      </c>
      <c r="N15" s="82">
        <v>36</v>
      </c>
      <c r="O15" s="1019"/>
      <c r="P15" s="82">
        <v>27</v>
      </c>
      <c r="Q15" s="2316"/>
      <c r="R15"/>
      <c r="S15" s="354" t="s">
        <v>765</v>
      </c>
      <c r="T15" s="2318"/>
      <c r="U15" s="1155"/>
      <c r="V15" s="2318"/>
    </row>
    <row r="16" spans="1:22" x14ac:dyDescent="0.2">
      <c r="A16" s="1910"/>
      <c r="B16" s="15" t="s">
        <v>246</v>
      </c>
      <c r="C16" s="16"/>
      <c r="D16" s="6"/>
      <c r="E16" s="6">
        <v>144</v>
      </c>
      <c r="F16" s="6">
        <v>0</v>
      </c>
      <c r="G16" s="6"/>
      <c r="H16" s="6"/>
      <c r="I16" s="6"/>
      <c r="J16" s="6"/>
      <c r="K16" s="6"/>
      <c r="L16" s="6"/>
      <c r="M16" s="15" t="s">
        <v>246</v>
      </c>
      <c r="N16" s="82"/>
      <c r="O16" s="1019"/>
      <c r="P16" s="82"/>
      <c r="Q16" s="115"/>
      <c r="R16"/>
      <c r="S16" s="15" t="s">
        <v>246</v>
      </c>
      <c r="T16" s="1064"/>
      <c r="U16" s="1064"/>
      <c r="V16" s="1064"/>
    </row>
    <row r="17" spans="1:22" x14ac:dyDescent="0.2">
      <c r="A17" s="1907"/>
      <c r="B17" s="15" t="s">
        <v>158</v>
      </c>
      <c r="C17" s="73">
        <v>144</v>
      </c>
      <c r="D17" s="6">
        <v>270</v>
      </c>
      <c r="E17" s="6">
        <v>252</v>
      </c>
      <c r="F17" s="6">
        <v>252</v>
      </c>
      <c r="G17" s="6">
        <v>270</v>
      </c>
      <c r="H17" s="6">
        <v>144</v>
      </c>
      <c r="I17" s="6">
        <v>126</v>
      </c>
      <c r="J17" s="6"/>
      <c r="K17" s="6"/>
      <c r="L17" s="6"/>
      <c r="M17" s="423" t="s">
        <v>664</v>
      </c>
      <c r="N17" s="82">
        <v>126</v>
      </c>
      <c r="O17" s="1019"/>
      <c r="P17" s="82"/>
      <c r="Q17" s="115"/>
      <c r="R17"/>
      <c r="S17" s="15" t="s">
        <v>664</v>
      </c>
      <c r="T17" s="1064"/>
      <c r="U17" s="1064"/>
      <c r="V17" s="1064"/>
    </row>
    <row r="18" spans="1:22" x14ac:dyDescent="0.2">
      <c r="A18" s="1910"/>
      <c r="B18" s="15" t="s">
        <v>663</v>
      </c>
      <c r="C18" s="73"/>
      <c r="D18" s="6"/>
      <c r="E18" s="6"/>
      <c r="F18" s="6"/>
      <c r="G18" s="6"/>
      <c r="H18" s="6">
        <v>135</v>
      </c>
      <c r="I18" s="6"/>
      <c r="J18" s="6"/>
      <c r="K18" s="6"/>
      <c r="L18" s="6"/>
      <c r="M18" s="15" t="s">
        <v>663</v>
      </c>
      <c r="N18" s="82"/>
      <c r="O18" s="1019"/>
      <c r="P18" s="82"/>
      <c r="Q18" s="115"/>
      <c r="R18"/>
      <c r="S18" s="15" t="s">
        <v>663</v>
      </c>
      <c r="T18" s="1064"/>
      <c r="U18" s="1064"/>
      <c r="V18" s="1064"/>
    </row>
    <row r="19" spans="1:22" x14ac:dyDescent="0.2">
      <c r="A19" s="1907"/>
      <c r="B19" s="15" t="s">
        <v>763</v>
      </c>
      <c r="C19" s="16">
        <v>90</v>
      </c>
      <c r="D19" s="6">
        <v>77</v>
      </c>
      <c r="E19" s="6">
        <v>36</v>
      </c>
      <c r="F19" s="6">
        <v>36</v>
      </c>
      <c r="G19" s="6">
        <v>26</v>
      </c>
      <c r="H19" s="6"/>
      <c r="I19" s="6">
        <v>17</v>
      </c>
      <c r="J19" s="6"/>
      <c r="K19" s="6">
        <v>38</v>
      </c>
      <c r="L19" s="6"/>
      <c r="M19" s="423" t="s">
        <v>763</v>
      </c>
      <c r="N19" s="82">
        <v>17</v>
      </c>
      <c r="O19" s="1019"/>
      <c r="P19" s="82">
        <v>38</v>
      </c>
      <c r="Q19" s="115"/>
      <c r="R19"/>
      <c r="S19" s="15" t="s">
        <v>763</v>
      </c>
      <c r="T19" s="1064"/>
      <c r="U19" s="1064"/>
      <c r="V19" s="1064"/>
    </row>
    <row r="20" spans="1:22" x14ac:dyDescent="0.2">
      <c r="A20" s="1910"/>
      <c r="B20" s="15" t="s">
        <v>68</v>
      </c>
      <c r="C20" s="16">
        <v>40</v>
      </c>
      <c r="D20" s="6">
        <v>48</v>
      </c>
      <c r="E20" s="6">
        <v>40</v>
      </c>
      <c r="F20" s="6">
        <v>40</v>
      </c>
      <c r="G20" s="6">
        <v>40</v>
      </c>
      <c r="H20" s="6">
        <v>40</v>
      </c>
      <c r="I20" s="6">
        <v>32</v>
      </c>
      <c r="J20" s="6"/>
      <c r="K20" s="6">
        <v>24</v>
      </c>
      <c r="L20" s="6"/>
      <c r="M20" s="423" t="s">
        <v>68</v>
      </c>
      <c r="N20" s="82">
        <v>32</v>
      </c>
      <c r="O20" s="1019"/>
      <c r="P20" s="82">
        <v>24</v>
      </c>
      <c r="Q20" s="16">
        <v>24</v>
      </c>
      <c r="R20"/>
      <c r="S20" s="15" t="s">
        <v>68</v>
      </c>
      <c r="T20" s="1064"/>
      <c r="U20" s="1064"/>
      <c r="V20" s="1064"/>
    </row>
    <row r="21" spans="1:22" x14ac:dyDescent="0.2">
      <c r="A21" s="1907"/>
      <c r="B21" s="354" t="s">
        <v>760</v>
      </c>
      <c r="C21" s="73"/>
      <c r="D21" s="6">
        <v>52</v>
      </c>
      <c r="E21" s="6">
        <v>42</v>
      </c>
      <c r="F21" s="6">
        <v>42</v>
      </c>
      <c r="G21" s="6">
        <v>40</v>
      </c>
      <c r="H21" s="6">
        <v>43</v>
      </c>
      <c r="I21" s="6">
        <v>40</v>
      </c>
      <c r="J21" s="6"/>
      <c r="K21" s="6"/>
      <c r="L21" s="6"/>
      <c r="M21" s="335" t="s">
        <v>760</v>
      </c>
      <c r="N21" s="82">
        <v>40</v>
      </c>
      <c r="O21" s="1019"/>
      <c r="P21" s="82"/>
      <c r="Q21" s="16"/>
      <c r="R21"/>
      <c r="S21" s="354" t="s">
        <v>760</v>
      </c>
      <c r="T21" s="1064"/>
      <c r="U21" s="1064"/>
      <c r="V21" s="1064"/>
    </row>
    <row r="22" spans="1:22" x14ac:dyDescent="0.2">
      <c r="A22" s="1910"/>
      <c r="B22" s="6" t="s">
        <v>540</v>
      </c>
      <c r="C22" s="16"/>
      <c r="D22" s="7"/>
      <c r="E22" s="7"/>
      <c r="F22" s="7"/>
      <c r="G22" s="6">
        <v>211</v>
      </c>
      <c r="H22" s="6">
        <v>240</v>
      </c>
      <c r="I22" s="6">
        <v>143</v>
      </c>
      <c r="J22" s="6"/>
      <c r="K22" s="6"/>
      <c r="L22" s="6"/>
      <c r="M22" s="82" t="s">
        <v>540</v>
      </c>
      <c r="N22" s="82">
        <v>143</v>
      </c>
      <c r="O22" s="1019"/>
      <c r="P22" s="82"/>
      <c r="Q22" s="16"/>
      <c r="R22"/>
      <c r="S22" s="6" t="s">
        <v>540</v>
      </c>
      <c r="T22" s="1064"/>
      <c r="U22" s="1064"/>
      <c r="V22" s="1064"/>
    </row>
    <row r="23" spans="1:22" x14ac:dyDescent="0.2">
      <c r="A23" s="1907"/>
      <c r="B23" s="15" t="s">
        <v>665</v>
      </c>
      <c r="C23" s="16"/>
      <c r="D23" s="6"/>
      <c r="E23" s="6"/>
      <c r="F23" s="6"/>
      <c r="G23" s="6"/>
      <c r="H23" s="6">
        <v>99</v>
      </c>
      <c r="I23" s="6"/>
      <c r="J23" s="6"/>
      <c r="K23" s="6"/>
      <c r="L23" s="6"/>
      <c r="M23" s="15" t="s">
        <v>665</v>
      </c>
      <c r="N23" s="82"/>
      <c r="O23" s="1019"/>
      <c r="P23" s="82"/>
      <c r="Q23" s="16"/>
      <c r="R23"/>
      <c r="S23" s="15" t="s">
        <v>665</v>
      </c>
      <c r="T23" s="1064">
        <f t="shared" ref="T23:T28" si="0">+Q23*2</f>
        <v>0</v>
      </c>
      <c r="U23" s="1064"/>
      <c r="V23" s="1064"/>
    </row>
    <row r="24" spans="1:22" x14ac:dyDescent="0.2">
      <c r="A24" s="1910"/>
      <c r="B24" s="15" t="s">
        <v>64</v>
      </c>
      <c r="C24" s="16">
        <v>97.5</v>
      </c>
      <c r="D24" s="6">
        <v>50</v>
      </c>
      <c r="E24" s="6">
        <v>49</v>
      </c>
      <c r="F24" s="6">
        <v>49</v>
      </c>
      <c r="G24" s="6">
        <v>34</v>
      </c>
      <c r="H24" s="6"/>
      <c r="I24" s="6"/>
      <c r="J24" s="6"/>
      <c r="K24" s="6"/>
      <c r="L24" s="6"/>
      <c r="M24" s="15" t="s">
        <v>64</v>
      </c>
      <c r="N24" s="82"/>
      <c r="O24" s="1019"/>
      <c r="P24" s="82"/>
      <c r="Q24" s="16"/>
      <c r="R24"/>
      <c r="S24" s="15" t="s">
        <v>64</v>
      </c>
      <c r="T24" s="1064">
        <f t="shared" si="0"/>
        <v>0</v>
      </c>
      <c r="U24" s="1064"/>
      <c r="V24" s="1064"/>
    </row>
    <row r="25" spans="1:22" x14ac:dyDescent="0.2">
      <c r="A25" s="1907"/>
      <c r="B25" s="15" t="s">
        <v>65</v>
      </c>
      <c r="C25" s="16">
        <v>138.01</v>
      </c>
      <c r="D25" s="6">
        <v>106</v>
      </c>
      <c r="E25" s="6">
        <v>128</v>
      </c>
      <c r="F25" s="6">
        <v>128</v>
      </c>
      <c r="G25" s="6">
        <v>65</v>
      </c>
      <c r="H25" s="6">
        <v>106</v>
      </c>
      <c r="I25" s="6">
        <v>125.8</v>
      </c>
      <c r="J25" s="6"/>
      <c r="K25" s="6"/>
      <c r="L25" s="6"/>
      <c r="M25" s="423" t="s">
        <v>65</v>
      </c>
      <c r="N25" s="82">
        <v>125.8</v>
      </c>
      <c r="O25" s="1019"/>
      <c r="P25" s="82"/>
      <c r="Q25" s="16"/>
      <c r="R25"/>
      <c r="S25" s="15" t="s">
        <v>65</v>
      </c>
      <c r="T25" s="1064">
        <f t="shared" si="0"/>
        <v>0</v>
      </c>
      <c r="U25" s="1064"/>
      <c r="V25" s="1064"/>
    </row>
    <row r="26" spans="1:22" x14ac:dyDescent="0.2">
      <c r="A26" s="1910"/>
      <c r="B26" s="18" t="s">
        <v>666</v>
      </c>
      <c r="C26" s="16"/>
      <c r="D26" s="6"/>
      <c r="E26" s="6"/>
      <c r="F26" s="6"/>
      <c r="G26" s="6"/>
      <c r="H26" s="6">
        <v>16</v>
      </c>
      <c r="I26" s="6">
        <v>12</v>
      </c>
      <c r="J26" s="6"/>
      <c r="K26" s="6"/>
      <c r="L26" s="6"/>
      <c r="M26" s="331" t="s">
        <v>666</v>
      </c>
      <c r="N26" s="82">
        <v>12</v>
      </c>
      <c r="O26" s="1019"/>
      <c r="P26" s="82"/>
      <c r="Q26" s="16"/>
      <c r="R26"/>
      <c r="S26" s="18" t="s">
        <v>666</v>
      </c>
      <c r="T26" s="1064">
        <f t="shared" si="0"/>
        <v>0</v>
      </c>
      <c r="U26" s="1064"/>
      <c r="V26" s="1064">
        <v>0</v>
      </c>
    </row>
    <row r="27" spans="1:22" x14ac:dyDescent="0.2">
      <c r="A27" s="1907"/>
      <c r="B27" s="15" t="s">
        <v>667</v>
      </c>
      <c r="C27" s="16">
        <v>27</v>
      </c>
      <c r="D27" s="7">
        <v>37</v>
      </c>
      <c r="E27" s="7">
        <v>12</v>
      </c>
      <c r="F27" s="7">
        <v>12</v>
      </c>
      <c r="G27" s="6"/>
      <c r="H27" s="6">
        <v>5</v>
      </c>
      <c r="I27" s="6"/>
      <c r="J27" s="6"/>
      <c r="K27" s="6">
        <f t="shared" ref="K27" si="1">+I27*1.1</f>
        <v>0</v>
      </c>
      <c r="L27" s="6"/>
      <c r="M27" s="15" t="s">
        <v>667</v>
      </c>
      <c r="N27" s="82"/>
      <c r="O27" s="1019"/>
      <c r="P27" s="82"/>
      <c r="Q27" s="16"/>
      <c r="R27"/>
      <c r="S27" s="15" t="s">
        <v>667</v>
      </c>
      <c r="T27" s="1064">
        <f t="shared" si="0"/>
        <v>0</v>
      </c>
      <c r="U27" s="1064"/>
      <c r="V27" s="1064">
        <v>0</v>
      </c>
    </row>
    <row r="28" spans="1:22" x14ac:dyDescent="0.2">
      <c r="A28" s="1910"/>
      <c r="B28" s="15" t="s">
        <v>541</v>
      </c>
      <c r="C28" s="16">
        <v>40</v>
      </c>
      <c r="D28" s="6">
        <v>35</v>
      </c>
      <c r="E28" s="6">
        <v>0</v>
      </c>
      <c r="F28" s="6">
        <v>0</v>
      </c>
      <c r="G28" s="6">
        <v>0</v>
      </c>
      <c r="H28" s="7"/>
      <c r="I28" s="7"/>
      <c r="J28" s="7"/>
      <c r="K28" s="7"/>
      <c r="L28" s="6"/>
      <c r="M28" s="15" t="s">
        <v>541</v>
      </c>
      <c r="N28" s="82"/>
      <c r="O28" s="1019"/>
      <c r="P28" s="82"/>
      <c r="Q28" s="16"/>
      <c r="R28"/>
      <c r="S28" s="15" t="s">
        <v>541</v>
      </c>
      <c r="T28" s="1064">
        <f t="shared" si="0"/>
        <v>0</v>
      </c>
      <c r="U28" s="1064"/>
      <c r="V28" s="1064">
        <v>0</v>
      </c>
    </row>
    <row r="29" spans="1:22" x14ac:dyDescent="0.2">
      <c r="A29" s="1907"/>
      <c r="B29" s="1048"/>
      <c r="C29" s="1049"/>
      <c r="D29" s="1050"/>
      <c r="E29" s="1050"/>
      <c r="F29" s="1050"/>
      <c r="G29" s="1050"/>
      <c r="H29" s="1051"/>
      <c r="I29" s="1051"/>
      <c r="J29" s="1051"/>
      <c r="K29" s="1051"/>
      <c r="L29" s="1050"/>
      <c r="M29" s="1048"/>
      <c r="N29" s="138"/>
      <c r="O29" s="1019"/>
      <c r="P29" s="138"/>
      <c r="Q29" s="1049"/>
      <c r="R29"/>
      <c r="S29" s="1048"/>
      <c r="T29" s="1148">
        <v>2916.81</v>
      </c>
      <c r="U29" s="1148">
        <v>2590</v>
      </c>
      <c r="V29" s="1052">
        <v>3000</v>
      </c>
    </row>
    <row r="30" spans="1:22" ht="16" thickBot="1" x14ac:dyDescent="0.25">
      <c r="A30" s="1910"/>
      <c r="B30" s="17" t="s">
        <v>4</v>
      </c>
      <c r="C30" s="11">
        <f t="shared" ref="C30:I30" si="2">SUM(C5:C28)</f>
        <v>2599.0100000000002</v>
      </c>
      <c r="D30" s="11">
        <f t="shared" si="2"/>
        <v>2877</v>
      </c>
      <c r="E30" s="11">
        <f t="shared" si="2"/>
        <v>2712</v>
      </c>
      <c r="F30" s="11">
        <f t="shared" si="2"/>
        <v>2636</v>
      </c>
      <c r="G30" s="11">
        <f t="shared" si="2"/>
        <v>2548</v>
      </c>
      <c r="H30" s="665">
        <f t="shared" si="2"/>
        <v>2485</v>
      </c>
      <c r="I30" s="665">
        <f t="shared" si="2"/>
        <v>1973.8</v>
      </c>
      <c r="J30" s="332">
        <v>0</v>
      </c>
      <c r="K30" s="332">
        <f>SUM(K5:K28)</f>
        <v>1816</v>
      </c>
      <c r="L30" s="332">
        <f>SUM(L5:L28)</f>
        <v>0</v>
      </c>
      <c r="M30" s="17" t="s">
        <v>4</v>
      </c>
      <c r="N30" s="668">
        <f>SUM(N5:N29)</f>
        <v>1973.8</v>
      </c>
      <c r="O30" s="1020"/>
      <c r="P30" s="668">
        <f t="shared" ref="P30:Q30" si="3">SUM(P5:P29)</f>
        <v>1816</v>
      </c>
      <c r="Q30" s="668">
        <f t="shared" si="3"/>
        <v>1589</v>
      </c>
      <c r="R30"/>
      <c r="S30" s="17" t="s">
        <v>4</v>
      </c>
      <c r="T30" s="1065">
        <f>SUM(T5:T29)</f>
        <v>2916.81</v>
      </c>
      <c r="U30" s="1065">
        <f>SUM(U5:U29)</f>
        <v>2590</v>
      </c>
      <c r="V30" s="1439">
        <f>SUM(V5:V29)</f>
        <v>3000</v>
      </c>
    </row>
    <row r="31" spans="1:22" ht="16" thickTop="1" x14ac:dyDescent="0.2"/>
  </sheetData>
  <sortState xmlns:xlrd2="http://schemas.microsoft.com/office/spreadsheetml/2017/richdata2" ref="Q4">
    <sortCondition descending="1" ref="Q4"/>
  </sortState>
  <mergeCells count="8">
    <mergeCell ref="M1:V1"/>
    <mergeCell ref="Q14:Q15"/>
    <mergeCell ref="T14:T15"/>
    <mergeCell ref="V14:V15"/>
    <mergeCell ref="S2:V2"/>
    <mergeCell ref="T3:U3"/>
    <mergeCell ref="N3:Q3"/>
    <mergeCell ref="M2:Q2"/>
  </mergeCells>
  <phoneticPr fontId="52" type="noConversion"/>
  <conditionalFormatting sqref="B5:B6">
    <cfRule type="cellIs" dxfId="142" priority="23" operator="equal">
      <formula>0</formula>
    </cfRule>
  </conditionalFormatting>
  <conditionalFormatting sqref="B14">
    <cfRule type="cellIs" dxfId="141" priority="20" operator="equal">
      <formula>0</formula>
    </cfRule>
  </conditionalFormatting>
  <conditionalFormatting sqref="B25">
    <cfRule type="cellIs" dxfId="140" priority="33" operator="equal">
      <formula>0</formula>
    </cfRule>
  </conditionalFormatting>
  <conditionalFormatting sqref="M1">
    <cfRule type="cellIs" dxfId="139" priority="1" operator="equal">
      <formula>0</formula>
    </cfRule>
  </conditionalFormatting>
  <conditionalFormatting sqref="M5:M6">
    <cfRule type="cellIs" dxfId="138" priority="4" operator="equal">
      <formula>0</formula>
    </cfRule>
  </conditionalFormatting>
  <conditionalFormatting sqref="M15">
    <cfRule type="cellIs" dxfId="137" priority="3" operator="equal">
      <formula>0</formula>
    </cfRule>
  </conditionalFormatting>
  <conditionalFormatting sqref="M25">
    <cfRule type="cellIs" dxfId="136" priority="7" operator="equal">
      <formula>0</formula>
    </cfRule>
  </conditionalFormatting>
  <conditionalFormatting sqref="S5:S6">
    <cfRule type="cellIs" dxfId="135" priority="15" operator="equal">
      <formula>0</formula>
    </cfRule>
  </conditionalFormatting>
  <conditionalFormatting sqref="S15">
    <cfRule type="cellIs" dxfId="134" priority="14" operator="equal">
      <formula>0</formula>
    </cfRule>
  </conditionalFormatting>
  <conditionalFormatting sqref="S25">
    <cfRule type="cellIs" dxfId="133" priority="19" operator="equal">
      <formula>0</formula>
    </cfRule>
  </conditionalFormatting>
  <hyperlinks>
    <hyperlink ref="V30" location="Summary!T16" display="Summary!T16" xr:uid="{A5591A47-660B-46BA-B5C3-3177BCB958BD}"/>
    <hyperlink ref="M1" location="Summary!A1" display="Summary!A1" xr:uid="{8A5986CF-7179-4740-A510-3A0B19A67898}"/>
  </hyperlinks>
  <printOptions horizontalCentered="1"/>
  <pageMargins left="0.70866141732283472" right="0.11811023622047245"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FF00"/>
    <pageSetUpPr fitToPage="1"/>
  </sheetPr>
  <dimension ref="A1:R23"/>
  <sheetViews>
    <sheetView zoomScaleNormal="100" zoomScaleSheetLayoutView="100" workbookViewId="0">
      <pane xSplit="2" ySplit="4" topLeftCell="O5" activePane="bottomRight" state="frozen"/>
      <selection activeCell="Y257" sqref="Y257"/>
      <selection pane="topRight" activeCell="Y257" sqref="Y257"/>
      <selection pane="bottomLeft" activeCell="Y257" sqref="Y257"/>
      <selection pane="bottomRight" activeCell="Y257" sqref="Y257"/>
    </sheetView>
  </sheetViews>
  <sheetFormatPr baseColWidth="10" defaultColWidth="8.83203125" defaultRowHeight="15" x14ac:dyDescent="0.2"/>
  <cols>
    <col min="1" max="1" width="3" style="2" bestFit="1" customWidth="1"/>
    <col min="2" max="2" width="20.1640625" style="1345" customWidth="1"/>
    <col min="3" max="7" width="5.83203125" style="2" hidden="1" customWidth="1"/>
    <col min="8" max="8" width="1.5" style="2" hidden="1" customWidth="1"/>
    <col min="9" max="12" width="7.33203125" style="2" hidden="1" customWidth="1"/>
    <col min="13" max="13" width="9.83203125" style="2" hidden="1" customWidth="1"/>
    <col min="14" max="14" width="7.33203125" style="2" hidden="1" customWidth="1"/>
    <col min="15" max="15" width="7.33203125" style="2" customWidth="1"/>
    <col min="16" max="16" width="7.33203125" style="2" bestFit="1" customWidth="1"/>
    <col min="17" max="17" width="7.33203125" style="2" customWidth="1"/>
    <col min="18" max="18" width="7.83203125" style="2" bestFit="1" customWidth="1"/>
    <col min="19" max="16384" width="8.83203125" style="2"/>
  </cols>
  <sheetData>
    <row r="1" spans="1:18" s="1683" customFormat="1" ht="24" x14ac:dyDescent="0.2">
      <c r="A1" s="1912"/>
      <c r="B1" s="2289" t="s">
        <v>725</v>
      </c>
      <c r="C1" s="2289"/>
      <c r="D1" s="2289"/>
      <c r="E1" s="2289"/>
      <c r="F1" s="2289"/>
      <c r="G1" s="2289"/>
      <c r="H1" s="2289"/>
      <c r="I1" s="2289"/>
      <c r="J1" s="2289"/>
      <c r="K1" s="2289"/>
      <c r="L1" s="2289"/>
      <c r="M1" s="2289"/>
      <c r="N1" s="2289"/>
      <c r="O1" s="2289"/>
      <c r="P1" s="2289"/>
      <c r="Q1" s="2289"/>
      <c r="R1" s="2289"/>
    </row>
    <row r="2" spans="1:18" s="1683" customFormat="1" x14ac:dyDescent="0.2">
      <c r="B2" s="2328" t="s">
        <v>159</v>
      </c>
      <c r="C2" s="2328"/>
      <c r="D2" s="2328"/>
      <c r="E2" s="2328"/>
      <c r="F2" s="2328"/>
      <c r="G2" s="2328"/>
      <c r="H2" s="2328"/>
      <c r="I2" s="2328"/>
      <c r="J2" s="2328"/>
      <c r="K2" s="2328"/>
      <c r="L2" s="2328"/>
      <c r="M2" s="2328"/>
      <c r="N2" s="2328"/>
      <c r="O2" s="2328"/>
      <c r="P2" s="2328"/>
      <c r="Q2" s="2328"/>
      <c r="R2" s="2328"/>
    </row>
    <row r="3" spans="1:18" x14ac:dyDescent="0.2">
      <c r="B3" s="31"/>
      <c r="C3" s="2323" t="s">
        <v>520</v>
      </c>
      <c r="D3" s="2323"/>
      <c r="E3" s="2323"/>
      <c r="F3" s="2323"/>
      <c r="G3" s="2323"/>
      <c r="H3" s="52"/>
      <c r="I3" s="2323" t="s">
        <v>481</v>
      </c>
      <c r="J3" s="2323"/>
      <c r="K3" s="2323"/>
      <c r="L3" s="2323"/>
      <c r="M3" s="2323"/>
      <c r="N3" s="2323"/>
      <c r="O3" s="2323"/>
      <c r="P3" s="2323"/>
      <c r="Q3" s="2323"/>
      <c r="R3" s="1473" t="s">
        <v>519</v>
      </c>
    </row>
    <row r="4" spans="1:18" ht="16" x14ac:dyDescent="0.2">
      <c r="A4" s="1509"/>
      <c r="B4" s="1067" t="s">
        <v>369</v>
      </c>
      <c r="C4" s="297">
        <v>2014</v>
      </c>
      <c r="D4" s="297">
        <v>2015</v>
      </c>
      <c r="E4" s="297">
        <v>2016</v>
      </c>
      <c r="F4" s="297" t="s">
        <v>157</v>
      </c>
      <c r="G4" s="297">
        <v>2017</v>
      </c>
      <c r="H4" s="297"/>
      <c r="I4" s="297">
        <v>2018</v>
      </c>
      <c r="J4" s="297">
        <v>2019</v>
      </c>
      <c r="K4" s="297">
        <v>2019</v>
      </c>
      <c r="L4" s="297">
        <v>2020</v>
      </c>
      <c r="M4" s="1069"/>
      <c r="N4" s="297">
        <v>2021</v>
      </c>
      <c r="O4" s="812">
        <v>2022</v>
      </c>
      <c r="P4" s="317">
        <v>2023</v>
      </c>
      <c r="Q4" s="317">
        <v>2024</v>
      </c>
      <c r="R4" s="812">
        <v>2025</v>
      </c>
    </row>
    <row r="5" spans="1:18" ht="16" x14ac:dyDescent="0.2">
      <c r="B5" s="31" t="s">
        <v>370</v>
      </c>
      <c r="C5" s="38"/>
      <c r="D5" s="38">
        <v>21</v>
      </c>
      <c r="E5" s="38">
        <v>25</v>
      </c>
      <c r="F5" s="38"/>
      <c r="G5" s="38">
        <v>26</v>
      </c>
      <c r="H5" s="38"/>
      <c r="I5" s="2324">
        <v>150</v>
      </c>
      <c r="J5" s="2324">
        <v>125</v>
      </c>
      <c r="K5" s="38">
        <v>23</v>
      </c>
      <c r="L5" s="2324">
        <v>130</v>
      </c>
      <c r="M5" s="2325" t="s">
        <v>815</v>
      </c>
      <c r="N5" s="2322" t="s">
        <v>924</v>
      </c>
      <c r="O5" s="2326">
        <v>106</v>
      </c>
      <c r="P5" s="2327">
        <v>122</v>
      </c>
      <c r="Q5" s="1619"/>
      <c r="R5" s="37"/>
    </row>
    <row r="6" spans="1:18" ht="16" x14ac:dyDescent="0.2">
      <c r="B6" s="31" t="s">
        <v>542</v>
      </c>
      <c r="C6" s="38">
        <v>23</v>
      </c>
      <c r="D6" s="38">
        <v>21</v>
      </c>
      <c r="E6" s="38"/>
      <c r="F6" s="38">
        <v>240</v>
      </c>
      <c r="G6" s="38">
        <v>20</v>
      </c>
      <c r="H6" s="38"/>
      <c r="I6" s="2324"/>
      <c r="J6" s="2324"/>
      <c r="K6" s="38">
        <v>19</v>
      </c>
      <c r="L6" s="2324"/>
      <c r="M6" s="2325"/>
      <c r="N6" s="2322"/>
      <c r="O6" s="2326"/>
      <c r="P6" s="2327"/>
      <c r="Q6" s="1619"/>
      <c r="R6" s="37"/>
    </row>
    <row r="7" spans="1:18" ht="16" x14ac:dyDescent="0.2">
      <c r="B7" s="31" t="s">
        <v>371</v>
      </c>
      <c r="C7" s="38">
        <v>26</v>
      </c>
      <c r="D7" s="38"/>
      <c r="E7" s="38">
        <v>23</v>
      </c>
      <c r="F7" s="38"/>
      <c r="G7" s="38">
        <v>21</v>
      </c>
      <c r="H7" s="38"/>
      <c r="I7" s="2324"/>
      <c r="J7" s="2324"/>
      <c r="K7" s="38">
        <v>21</v>
      </c>
      <c r="L7" s="2324"/>
      <c r="M7" s="2325"/>
      <c r="N7" s="2322"/>
      <c r="O7" s="2326"/>
      <c r="P7" s="2327"/>
      <c r="Q7" s="1619"/>
      <c r="R7" s="37"/>
    </row>
    <row r="8" spans="1:18" ht="16" x14ac:dyDescent="0.2">
      <c r="B8" s="31" t="s">
        <v>372</v>
      </c>
      <c r="C8" s="38">
        <v>24</v>
      </c>
      <c r="D8" s="38">
        <v>24.5</v>
      </c>
      <c r="E8" s="38">
        <v>20</v>
      </c>
      <c r="F8" s="38"/>
      <c r="G8" s="38">
        <v>23.5</v>
      </c>
      <c r="H8" s="38"/>
      <c r="I8" s="2324"/>
      <c r="J8" s="2324"/>
      <c r="K8" s="38"/>
      <c r="L8" s="2324"/>
      <c r="M8" s="2325"/>
      <c r="N8" s="2322"/>
      <c r="O8" s="2326"/>
      <c r="P8" s="2327"/>
      <c r="Q8" s="1619"/>
      <c r="R8" s="37"/>
    </row>
    <row r="9" spans="1:18" ht="16" x14ac:dyDescent="0.2">
      <c r="B9" s="31" t="s">
        <v>373</v>
      </c>
      <c r="C9" s="38">
        <v>16.149999999999999</v>
      </c>
      <c r="D9" s="38"/>
      <c r="E9" s="38">
        <v>20</v>
      </c>
      <c r="F9" s="38"/>
      <c r="G9" s="38"/>
      <c r="H9" s="38"/>
      <c r="I9" s="2324"/>
      <c r="J9" s="2324"/>
      <c r="K9" s="38"/>
      <c r="L9" s="2324"/>
      <c r="M9" s="2325"/>
      <c r="N9" s="2322"/>
      <c r="O9" s="2326"/>
      <c r="P9" s="2327"/>
      <c r="Q9" s="1619"/>
      <c r="R9" s="37"/>
    </row>
    <row r="10" spans="1:18" ht="16" x14ac:dyDescent="0.2">
      <c r="B10" s="31" t="s">
        <v>366</v>
      </c>
      <c r="C10" s="38">
        <v>24</v>
      </c>
      <c r="D10" s="38">
        <v>23</v>
      </c>
      <c r="E10" s="38"/>
      <c r="F10" s="38"/>
      <c r="G10" s="38">
        <v>26</v>
      </c>
      <c r="H10" s="38"/>
      <c r="I10" s="2324"/>
      <c r="J10" s="2324"/>
      <c r="K10" s="38">
        <v>18</v>
      </c>
      <c r="L10" s="2324"/>
      <c r="M10" s="2325"/>
      <c r="N10" s="2322"/>
      <c r="O10" s="2326"/>
      <c r="P10" s="2327"/>
      <c r="Q10" s="1619"/>
      <c r="R10" s="37"/>
    </row>
    <row r="11" spans="1:18" ht="14.5" customHeight="1" x14ac:dyDescent="0.2">
      <c r="B11" s="31" t="s">
        <v>544</v>
      </c>
      <c r="C11" s="38"/>
      <c r="D11" s="38"/>
      <c r="E11" s="38"/>
      <c r="F11" s="38"/>
      <c r="G11" s="38">
        <v>19</v>
      </c>
      <c r="H11" s="38"/>
      <c r="I11" s="2324"/>
      <c r="J11" s="2324"/>
      <c r="K11" s="38">
        <v>19</v>
      </c>
      <c r="L11" s="2324"/>
      <c r="M11" s="2325"/>
      <c r="N11" s="2322"/>
      <c r="O11" s="2326"/>
      <c r="P11" s="2327"/>
      <c r="Q11" s="1619"/>
      <c r="R11" s="37"/>
    </row>
    <row r="12" spans="1:18" ht="16" x14ac:dyDescent="0.2">
      <c r="B12" s="31" t="s">
        <v>543</v>
      </c>
      <c r="C12" s="38">
        <v>26.1</v>
      </c>
      <c r="D12" s="38"/>
      <c r="E12" s="38"/>
      <c r="F12" s="38"/>
      <c r="G12" s="38">
        <v>17</v>
      </c>
      <c r="H12" s="38"/>
      <c r="I12" s="2324"/>
      <c r="J12" s="2324"/>
      <c r="K12" s="1325" t="s">
        <v>816</v>
      </c>
      <c r="L12" s="2324"/>
      <c r="M12" s="2325"/>
      <c r="N12" s="2322"/>
      <c r="O12" s="2326"/>
      <c r="P12" s="2327"/>
      <c r="Q12" s="1619"/>
      <c r="R12" s="37"/>
    </row>
    <row r="13" spans="1:18" ht="16" x14ac:dyDescent="0.2">
      <c r="B13" s="31" t="s">
        <v>374</v>
      </c>
      <c r="C13" s="38">
        <v>35.6</v>
      </c>
      <c r="D13" s="38"/>
      <c r="E13" s="38">
        <v>39</v>
      </c>
      <c r="F13" s="38"/>
      <c r="G13" s="38"/>
      <c r="H13" s="38"/>
      <c r="I13" s="2324"/>
      <c r="J13" s="2324"/>
      <c r="K13" s="38"/>
      <c r="L13" s="2324"/>
      <c r="M13" s="2325"/>
      <c r="N13" s="2322"/>
      <c r="O13" s="2326"/>
      <c r="P13" s="2327"/>
      <c r="Q13" s="1619"/>
      <c r="R13" s="37"/>
    </row>
    <row r="14" spans="1:18" ht="16" x14ac:dyDescent="0.2">
      <c r="B14" s="31" t="s">
        <v>375</v>
      </c>
      <c r="C14" s="38"/>
      <c r="D14" s="38"/>
      <c r="E14" s="38">
        <v>18</v>
      </c>
      <c r="F14" s="38"/>
      <c r="G14" s="38"/>
      <c r="H14" s="38"/>
      <c r="I14" s="2324"/>
      <c r="J14" s="2324"/>
      <c r="K14" s="38"/>
      <c r="L14" s="2324"/>
      <c r="M14" s="2325"/>
      <c r="N14" s="2322"/>
      <c r="O14" s="2326"/>
      <c r="P14" s="2327"/>
      <c r="Q14" s="1619"/>
      <c r="R14" s="37"/>
    </row>
    <row r="15" spans="1:18" ht="16" x14ac:dyDescent="0.2">
      <c r="B15" s="31" t="s">
        <v>368</v>
      </c>
      <c r="C15" s="38">
        <v>17</v>
      </c>
      <c r="D15" s="38">
        <v>20</v>
      </c>
      <c r="E15" s="38"/>
      <c r="F15" s="38"/>
      <c r="G15" s="38">
        <v>18</v>
      </c>
      <c r="H15" s="38"/>
      <c r="I15" s="2324"/>
      <c r="J15" s="2324"/>
      <c r="K15" s="38"/>
      <c r="L15" s="2324"/>
      <c r="M15" s="2325"/>
      <c r="N15" s="2322"/>
      <c r="O15" s="2326"/>
      <c r="P15" s="2327"/>
      <c r="Q15" s="1619"/>
      <c r="R15" s="37"/>
    </row>
    <row r="16" spans="1:18" ht="16" x14ac:dyDescent="0.2">
      <c r="B16" s="31" t="s">
        <v>525</v>
      </c>
      <c r="C16" s="38"/>
      <c r="D16" s="38"/>
      <c r="E16" s="38"/>
      <c r="F16" s="38"/>
      <c r="G16" s="38">
        <v>22</v>
      </c>
      <c r="H16" s="38"/>
      <c r="I16" s="2324"/>
      <c r="J16" s="2324"/>
      <c r="K16" s="38">
        <v>25</v>
      </c>
      <c r="L16" s="2324"/>
      <c r="M16" s="2325"/>
      <c r="N16" s="2322"/>
      <c r="O16" s="2326"/>
      <c r="P16" s="2327"/>
      <c r="Q16" s="1619"/>
      <c r="R16" s="37"/>
    </row>
    <row r="17" spans="1:18" ht="16" x14ac:dyDescent="0.2">
      <c r="A17" s="2">
        <v>2</v>
      </c>
      <c r="B17" s="31" t="s">
        <v>367</v>
      </c>
      <c r="C17" s="38">
        <v>16</v>
      </c>
      <c r="D17" s="38">
        <v>24</v>
      </c>
      <c r="E17" s="38"/>
      <c r="F17" s="38"/>
      <c r="G17" s="38">
        <v>16</v>
      </c>
      <c r="H17" s="38"/>
      <c r="I17" s="2324"/>
      <c r="J17" s="2324"/>
      <c r="K17" s="1325" t="s">
        <v>816</v>
      </c>
      <c r="L17" s="2324"/>
      <c r="M17" s="2325"/>
      <c r="N17" s="2322"/>
      <c r="O17" s="2326"/>
      <c r="P17" s="2327"/>
      <c r="Q17" s="1619"/>
      <c r="R17" s="37"/>
    </row>
    <row r="18" spans="1:18" ht="16" x14ac:dyDescent="0.2">
      <c r="A18" s="2">
        <v>1</v>
      </c>
      <c r="B18" s="31" t="s">
        <v>807</v>
      </c>
      <c r="C18" s="38"/>
      <c r="D18" s="38"/>
      <c r="E18" s="38"/>
      <c r="F18" s="38"/>
      <c r="G18" s="38"/>
      <c r="H18" s="38"/>
      <c r="I18" s="2324"/>
      <c r="J18" s="2324"/>
      <c r="K18" s="1325"/>
      <c r="L18" s="2324"/>
      <c r="M18" s="2325"/>
      <c r="N18" s="2322"/>
      <c r="O18" s="2326"/>
      <c r="P18" s="2327"/>
      <c r="Q18" s="703">
        <v>48</v>
      </c>
      <c r="R18" s="1449">
        <v>100</v>
      </c>
    </row>
    <row r="19" spans="1:18" x14ac:dyDescent="0.2">
      <c r="B19" s="31"/>
      <c r="C19" s="39">
        <f>SUM(C5:C18)</f>
        <v>207.85</v>
      </c>
      <c r="D19" s="39">
        <f>SUM(D5:D18)</f>
        <v>133.5</v>
      </c>
      <c r="E19" s="39">
        <f>SUM(E5:E18)</f>
        <v>145</v>
      </c>
      <c r="F19" s="39">
        <f>SUM(F5:F18)</f>
        <v>240</v>
      </c>
      <c r="G19" s="39">
        <f>SUM(G5:G18)</f>
        <v>208.5</v>
      </c>
      <c r="H19" s="39"/>
      <c r="I19" s="40">
        <f>SUM(I5:I18)</f>
        <v>150</v>
      </c>
      <c r="J19" s="40">
        <f>SUM(J5:J18)</f>
        <v>125</v>
      </c>
      <c r="K19" s="40">
        <f>SUM(K5:K18)</f>
        <v>125</v>
      </c>
      <c r="L19" s="40">
        <f>SUM(L5:L18)</f>
        <v>130</v>
      </c>
      <c r="M19" s="39"/>
      <c r="N19" s="40">
        <f>SUM(N5:N18)</f>
        <v>0</v>
      </c>
      <c r="O19" s="861">
        <f>SUM(O5:O18)</f>
        <v>106</v>
      </c>
      <c r="P19" s="1066">
        <f>SUM(P5:P18)</f>
        <v>122</v>
      </c>
      <c r="Q19" s="1066">
        <f>SUM(Q5:Q18)</f>
        <v>48</v>
      </c>
      <c r="R19" s="822">
        <f>SUM(R5:R18)</f>
        <v>100</v>
      </c>
    </row>
    <row r="20" spans="1:18" ht="16" x14ac:dyDescent="0.2">
      <c r="B20" s="31" t="s">
        <v>161</v>
      </c>
      <c r="C20" s="38">
        <f>AVERAGE(C5:C18)</f>
        <v>23.094444444444445</v>
      </c>
      <c r="D20" s="38">
        <f>AVERAGE(D5:D18)</f>
        <v>22.25</v>
      </c>
      <c r="E20" s="38">
        <f>AVERAGE(E5:E18)</f>
        <v>24.166666666666668</v>
      </c>
      <c r="F20" s="38">
        <f>+F19/12</f>
        <v>20</v>
      </c>
      <c r="G20" s="38">
        <f>AVERAGE(G5:G18)</f>
        <v>20.85</v>
      </c>
      <c r="H20" s="38"/>
      <c r="I20" s="38"/>
      <c r="J20" s="38"/>
      <c r="K20" s="38"/>
      <c r="L20" s="38"/>
      <c r="M20" s="38"/>
      <c r="N20" s="38"/>
      <c r="O20" s="38"/>
      <c r="P20" s="37"/>
      <c r="Q20" s="37"/>
      <c r="R20" s="38"/>
    </row>
    <row r="21" spans="1:18" ht="32" x14ac:dyDescent="0.2">
      <c r="B21" s="31" t="s">
        <v>162</v>
      </c>
      <c r="C21" s="38"/>
      <c r="D21" s="39"/>
      <c r="E21" s="39">
        <f>+E20*12</f>
        <v>290</v>
      </c>
      <c r="F21" s="39"/>
      <c r="G21" s="39"/>
      <c r="H21" s="39"/>
      <c r="I21" s="39"/>
      <c r="J21" s="39"/>
      <c r="K21" s="39"/>
      <c r="L21" s="39"/>
      <c r="M21" s="39"/>
      <c r="N21" s="39"/>
      <c r="O21" s="39"/>
      <c r="P21" s="40"/>
      <c r="Q21" s="40"/>
      <c r="R21" s="39"/>
    </row>
    <row r="22" spans="1:18" ht="17" thickBot="1" x14ac:dyDescent="0.25">
      <c r="B22" s="1450" t="s">
        <v>545</v>
      </c>
      <c r="C22" s="25">
        <v>12</v>
      </c>
      <c r="D22" s="42"/>
      <c r="E22" s="42"/>
      <c r="F22" s="42">
        <f>+C22*20</f>
        <v>240</v>
      </c>
      <c r="G22" s="42">
        <f t="shared" ref="G22" si="0">+E22*20</f>
        <v>0</v>
      </c>
      <c r="H22" s="42" t="s">
        <v>70</v>
      </c>
      <c r="I22" s="42"/>
      <c r="J22" s="42"/>
      <c r="K22" s="42"/>
      <c r="L22" s="42"/>
      <c r="M22" s="42"/>
      <c r="N22" s="42"/>
      <c r="O22" s="42"/>
      <c r="P22" s="41"/>
      <c r="Q22" s="41"/>
      <c r="R22" s="42"/>
    </row>
    <row r="23" spans="1:18" ht="16" thickTop="1" x14ac:dyDescent="0.2"/>
  </sheetData>
  <sortState xmlns:xlrd2="http://schemas.microsoft.com/office/spreadsheetml/2017/richdata2" ref="A17:R18">
    <sortCondition ref="B5:B18"/>
  </sortState>
  <mergeCells count="11">
    <mergeCell ref="N5:N18"/>
    <mergeCell ref="B1:R1"/>
    <mergeCell ref="C3:G3"/>
    <mergeCell ref="L5:L18"/>
    <mergeCell ref="M5:M18"/>
    <mergeCell ref="I5:I18"/>
    <mergeCell ref="J5:J18"/>
    <mergeCell ref="O5:O18"/>
    <mergeCell ref="P5:P18"/>
    <mergeCell ref="I3:Q3"/>
    <mergeCell ref="B2:R2"/>
  </mergeCells>
  <conditionalFormatting sqref="A1:B1">
    <cfRule type="cellIs" dxfId="132" priority="1" operator="equal">
      <formula>0</formula>
    </cfRule>
  </conditionalFormatting>
  <hyperlinks>
    <hyperlink ref="B1" location="Summary!A1" display="Summary!A1" xr:uid="{510FFA3D-3D74-4CEB-9C3D-2DB4AEC6DFDD}"/>
    <hyperlink ref="R19" location="Summary!T17" display="Summary!T17" xr:uid="{3B89CA4B-C17C-4529-91BB-BC69001F7924}"/>
  </hyperlinks>
  <printOptions horizontalCentered="1"/>
  <pageMargins left="0.70866141732283472" right="0"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FF00"/>
    <pageSetUpPr fitToPage="1"/>
  </sheetPr>
  <dimension ref="B1:S33"/>
  <sheetViews>
    <sheetView zoomScaleNormal="100" zoomScaleSheetLayoutView="100" workbookViewId="0">
      <pane xSplit="7" ySplit="4" topLeftCell="P23" activePane="bottomRight" state="frozen"/>
      <selection activeCell="Y257" sqref="Y257"/>
      <selection pane="topRight" activeCell="Y257" sqref="Y257"/>
      <selection pane="bottomLeft" activeCell="Y257" sqref="Y257"/>
      <selection pane="bottomRight" activeCell="Y257" sqref="Y257"/>
    </sheetView>
  </sheetViews>
  <sheetFormatPr baseColWidth="10" defaultColWidth="8.83203125" defaultRowHeight="15" x14ac:dyDescent="0.2"/>
  <cols>
    <col min="1" max="1" width="2.33203125" style="14" customWidth="1"/>
    <col min="2" max="2" width="12.1640625" style="14" bestFit="1" customWidth="1"/>
    <col min="3" max="3" width="32.83203125" style="14" bestFit="1" customWidth="1"/>
    <col min="4" max="4" width="3" style="14" hidden="1" customWidth="1"/>
    <col min="5" max="5" width="6.33203125" style="14" hidden="1" customWidth="1"/>
    <col min="6" max="6" width="3" style="14" hidden="1" customWidth="1"/>
    <col min="7" max="7" width="6.33203125" style="14" hidden="1" customWidth="1"/>
    <col min="8" max="8" width="3" style="14" hidden="1" customWidth="1"/>
    <col min="9" max="9" width="5" style="14" hidden="1" customWidth="1"/>
    <col min="10" max="10" width="7" style="14" hidden="1" customWidth="1"/>
    <col min="11" max="11" width="6.1640625" style="14" hidden="1" customWidth="1"/>
    <col min="12" max="15" width="7" style="14" hidden="1" customWidth="1"/>
    <col min="16" max="16" width="7" style="14" customWidth="1"/>
    <col min="17" max="17" width="7" style="14" bestFit="1" customWidth="1"/>
    <col min="18" max="18" width="10" style="1913" bestFit="1" customWidth="1"/>
    <col min="19" max="19" width="7.83203125" style="14" bestFit="1" customWidth="1"/>
    <col min="20" max="16384" width="8.83203125" style="14"/>
  </cols>
  <sheetData>
    <row r="1" spans="2:19" s="1909" customFormat="1" ht="24" x14ac:dyDescent="0.2">
      <c r="B1" s="2289" t="s">
        <v>725</v>
      </c>
      <c r="C1" s="2289"/>
      <c r="D1" s="2289"/>
      <c r="E1" s="2289"/>
      <c r="F1" s="2289"/>
      <c r="G1" s="2289"/>
      <c r="H1" s="2289"/>
      <c r="I1" s="2289"/>
      <c r="J1" s="2289"/>
      <c r="K1" s="2289"/>
      <c r="L1" s="2289"/>
      <c r="M1" s="2289"/>
      <c r="N1" s="2289"/>
      <c r="O1" s="2289"/>
      <c r="P1" s="2289"/>
      <c r="Q1" s="2289"/>
      <c r="R1" s="2289"/>
      <c r="S1" s="2289"/>
    </row>
    <row r="2" spans="2:19" s="1909" customFormat="1" ht="19" x14ac:dyDescent="0.2">
      <c r="B2" s="2331" t="s">
        <v>12</v>
      </c>
      <c r="C2" s="2332"/>
      <c r="D2" s="2332"/>
      <c r="E2" s="2332"/>
      <c r="F2" s="2332"/>
      <c r="G2" s="2332"/>
      <c r="H2" s="2332"/>
      <c r="I2" s="2332"/>
      <c r="J2" s="2332"/>
      <c r="K2" s="2332"/>
      <c r="L2" s="2332"/>
      <c r="M2" s="2332"/>
      <c r="N2" s="2332"/>
      <c r="O2" s="2332"/>
      <c r="P2" s="2332"/>
      <c r="Q2" s="2332"/>
      <c r="R2" s="2332"/>
      <c r="S2" s="2333"/>
    </row>
    <row r="3" spans="2:19" x14ac:dyDescent="0.2">
      <c r="B3" s="411"/>
      <c r="C3" s="1341"/>
      <c r="D3" s="2334" t="s">
        <v>481</v>
      </c>
      <c r="E3" s="2295"/>
      <c r="F3" s="2295"/>
      <c r="G3" s="2295"/>
      <c r="H3" s="2295"/>
      <c r="I3" s="2295"/>
      <c r="J3" s="2295"/>
      <c r="K3" s="2295"/>
      <c r="L3" s="2295"/>
      <c r="M3" s="2295"/>
      <c r="N3" s="2295"/>
      <c r="O3" s="2295"/>
      <c r="P3" s="2295"/>
      <c r="Q3" s="2295"/>
      <c r="R3" s="2335"/>
      <c r="S3" s="1474" t="s">
        <v>519</v>
      </c>
    </row>
    <row r="4" spans="2:19" ht="16" x14ac:dyDescent="0.2">
      <c r="B4" s="429" t="s">
        <v>324</v>
      </c>
      <c r="C4" s="835" t="s">
        <v>160</v>
      </c>
      <c r="D4" s="836"/>
      <c r="E4" s="835">
        <v>2014</v>
      </c>
      <c r="F4" s="2213">
        <v>2015</v>
      </c>
      <c r="G4" s="2215"/>
      <c r="H4" s="2329">
        <v>2016</v>
      </c>
      <c r="I4" s="2330"/>
      <c r="J4" s="664">
        <v>2017</v>
      </c>
      <c r="K4" s="837">
        <v>2017</v>
      </c>
      <c r="L4" s="666">
        <v>2018</v>
      </c>
      <c r="M4" s="666">
        <v>2019</v>
      </c>
      <c r="N4" s="666">
        <v>2020</v>
      </c>
      <c r="O4" s="666">
        <v>2021</v>
      </c>
      <c r="P4" s="1342">
        <v>2022</v>
      </c>
      <c r="Q4" s="1342">
        <v>2023</v>
      </c>
      <c r="R4" s="1153">
        <v>2024</v>
      </c>
      <c r="S4" s="666">
        <v>2025</v>
      </c>
    </row>
    <row r="5" spans="2:19" x14ac:dyDescent="0.2">
      <c r="B5" s="12" t="s">
        <v>376</v>
      </c>
      <c r="C5" s="12" t="s">
        <v>165</v>
      </c>
      <c r="D5" s="838"/>
      <c r="E5" s="839"/>
      <c r="F5" s="838"/>
      <c r="G5" s="103">
        <v>26</v>
      </c>
      <c r="H5" s="838">
        <v>42</v>
      </c>
      <c r="I5" s="165">
        <v>35.14</v>
      </c>
      <c r="J5" s="213">
        <v>40</v>
      </c>
      <c r="K5" s="103">
        <v>22</v>
      </c>
      <c r="L5" s="213">
        <v>24</v>
      </c>
      <c r="M5" s="840"/>
      <c r="N5" s="840">
        <v>0</v>
      </c>
      <c r="O5" s="840"/>
      <c r="P5" s="840"/>
      <c r="Q5" s="1620"/>
      <c r="R5" s="1621"/>
      <c r="S5" s="840"/>
    </row>
    <row r="6" spans="2:19" x14ac:dyDescent="0.2">
      <c r="B6" s="12" t="s">
        <v>376</v>
      </c>
      <c r="C6" s="12" t="s">
        <v>392</v>
      </c>
      <c r="D6" s="838">
        <v>32</v>
      </c>
      <c r="E6" s="839">
        <v>13.24</v>
      </c>
      <c r="F6" s="838">
        <v>34</v>
      </c>
      <c r="G6" s="103">
        <v>44</v>
      </c>
      <c r="H6" s="838">
        <v>35</v>
      </c>
      <c r="I6" s="165">
        <v>45.81</v>
      </c>
      <c r="J6" s="213">
        <v>45</v>
      </c>
      <c r="K6" s="103">
        <v>47.87</v>
      </c>
      <c r="L6" s="213">
        <v>35</v>
      </c>
      <c r="M6" s="840">
        <v>25.57</v>
      </c>
      <c r="N6" s="840"/>
      <c r="O6" s="840"/>
      <c r="P6" s="840">
        <v>36.72</v>
      </c>
      <c r="Q6" s="1620"/>
      <c r="R6" s="1621"/>
      <c r="S6" s="840"/>
    </row>
    <row r="7" spans="2:19" x14ac:dyDescent="0.2">
      <c r="B7" s="12" t="s">
        <v>377</v>
      </c>
      <c r="C7" s="12" t="s">
        <v>66</v>
      </c>
      <c r="D7" s="838">
        <v>30</v>
      </c>
      <c r="E7" s="839">
        <v>45</v>
      </c>
      <c r="F7" s="838">
        <v>48</v>
      </c>
      <c r="G7" s="103">
        <v>96</v>
      </c>
      <c r="H7" s="838">
        <v>36</v>
      </c>
      <c r="I7" s="165">
        <v>72</v>
      </c>
      <c r="J7" s="213">
        <v>72</v>
      </c>
      <c r="K7" s="103">
        <v>59</v>
      </c>
      <c r="L7" s="213">
        <v>84</v>
      </c>
      <c r="M7" s="840">
        <v>64</v>
      </c>
      <c r="N7" s="840"/>
      <c r="O7" s="840"/>
      <c r="P7" s="840"/>
      <c r="Q7" s="1620"/>
      <c r="R7" s="1621"/>
      <c r="S7" s="840"/>
    </row>
    <row r="8" spans="2:19" x14ac:dyDescent="0.2">
      <c r="B8" s="12"/>
      <c r="C8" s="12" t="s">
        <v>394</v>
      </c>
      <c r="D8" s="838"/>
      <c r="E8" s="839"/>
      <c r="F8" s="838"/>
      <c r="G8" s="103">
        <v>82</v>
      </c>
      <c r="H8" s="838"/>
      <c r="I8" s="165"/>
      <c r="J8" s="213"/>
      <c r="K8" s="103"/>
      <c r="L8" s="213"/>
      <c r="M8" s="840"/>
      <c r="N8" s="840"/>
      <c r="O8" s="840"/>
      <c r="P8" s="840"/>
      <c r="Q8" s="1620"/>
      <c r="R8" s="1621"/>
      <c r="S8" s="840"/>
    </row>
    <row r="9" spans="2:19" x14ac:dyDescent="0.2">
      <c r="B9" s="12" t="s">
        <v>378</v>
      </c>
      <c r="C9" s="12" t="s">
        <v>67</v>
      </c>
      <c r="D9" s="838">
        <v>24</v>
      </c>
      <c r="E9" s="839">
        <v>60</v>
      </c>
      <c r="F9" s="838">
        <v>32</v>
      </c>
      <c r="G9" s="103">
        <v>59.22</v>
      </c>
      <c r="H9" s="838">
        <v>32</v>
      </c>
      <c r="I9" s="165">
        <v>64</v>
      </c>
      <c r="J9" s="213">
        <v>64</v>
      </c>
      <c r="K9" s="103">
        <v>64</v>
      </c>
      <c r="L9" s="213">
        <v>54</v>
      </c>
      <c r="M9" s="840">
        <v>64</v>
      </c>
      <c r="N9" s="840"/>
      <c r="O9" s="840">
        <v>48</v>
      </c>
      <c r="P9" s="840">
        <v>32</v>
      </c>
      <c r="Q9" s="1620"/>
      <c r="R9" s="1621"/>
      <c r="S9" s="840"/>
    </row>
    <row r="10" spans="2:19" x14ac:dyDescent="0.2">
      <c r="B10" s="12" t="s">
        <v>377</v>
      </c>
      <c r="C10" s="12" t="s">
        <v>381</v>
      </c>
      <c r="D10" s="838">
        <v>46</v>
      </c>
      <c r="E10" s="839">
        <v>64.47</v>
      </c>
      <c r="F10" s="838">
        <v>41</v>
      </c>
      <c r="G10" s="103">
        <v>56</v>
      </c>
      <c r="H10" s="838">
        <v>32</v>
      </c>
      <c r="I10" s="165">
        <v>35.700000000000003</v>
      </c>
      <c r="J10" s="213">
        <v>40</v>
      </c>
      <c r="K10" s="103">
        <v>58.57</v>
      </c>
      <c r="L10" s="213">
        <v>44</v>
      </c>
      <c r="M10" s="840">
        <v>18.2</v>
      </c>
      <c r="N10" s="840"/>
      <c r="O10" s="840">
        <v>27</v>
      </c>
      <c r="P10" s="840">
        <v>56</v>
      </c>
      <c r="Q10" s="1620"/>
      <c r="R10" s="1621"/>
      <c r="S10" s="840"/>
    </row>
    <row r="11" spans="2:19" x14ac:dyDescent="0.2">
      <c r="B11" s="12" t="s">
        <v>379</v>
      </c>
      <c r="C11" s="12" t="s">
        <v>381</v>
      </c>
      <c r="D11" s="838"/>
      <c r="E11" s="839"/>
      <c r="F11" s="838"/>
      <c r="G11" s="103"/>
      <c r="H11" s="838"/>
      <c r="I11" s="165"/>
      <c r="J11" s="213"/>
      <c r="K11" s="103"/>
      <c r="L11" s="213"/>
      <c r="M11" s="840"/>
      <c r="N11" s="840"/>
      <c r="O11" s="840">
        <v>30.4</v>
      </c>
      <c r="P11" s="840"/>
      <c r="Q11" s="1620"/>
      <c r="R11" s="1621"/>
      <c r="S11" s="840"/>
    </row>
    <row r="12" spans="2:19" x14ac:dyDescent="0.2">
      <c r="B12" s="12" t="s">
        <v>378</v>
      </c>
      <c r="C12" s="12" t="s">
        <v>381</v>
      </c>
      <c r="D12" s="838"/>
      <c r="E12" s="839"/>
      <c r="F12" s="838"/>
      <c r="G12" s="103"/>
      <c r="H12" s="838"/>
      <c r="I12" s="165"/>
      <c r="J12" s="213"/>
      <c r="K12" s="103"/>
      <c r="L12" s="213"/>
      <c r="M12" s="840"/>
      <c r="N12" s="840"/>
      <c r="O12" s="840">
        <v>31.5</v>
      </c>
      <c r="P12" s="840">
        <v>47.07</v>
      </c>
      <c r="Q12" s="1620"/>
      <c r="R12" s="1621"/>
      <c r="S12" s="840"/>
    </row>
    <row r="13" spans="2:19" x14ac:dyDescent="0.2">
      <c r="B13" s="12" t="s">
        <v>379</v>
      </c>
      <c r="C13" s="12" t="s">
        <v>68</v>
      </c>
      <c r="D13" s="838">
        <v>40</v>
      </c>
      <c r="E13" s="839">
        <v>80</v>
      </c>
      <c r="F13" s="838">
        <v>48</v>
      </c>
      <c r="G13" s="103">
        <v>96</v>
      </c>
      <c r="H13" s="838">
        <v>40</v>
      </c>
      <c r="I13" s="165">
        <v>78.05</v>
      </c>
      <c r="J13" s="213">
        <v>75</v>
      </c>
      <c r="K13" s="103">
        <v>80</v>
      </c>
      <c r="L13" s="213">
        <v>49</v>
      </c>
      <c r="M13" s="840">
        <v>64</v>
      </c>
      <c r="N13" s="840"/>
      <c r="O13" s="840">
        <v>48</v>
      </c>
      <c r="P13" s="840">
        <v>48</v>
      </c>
      <c r="Q13" s="1620"/>
      <c r="R13" s="1621"/>
      <c r="S13" s="840"/>
    </row>
    <row r="14" spans="2:19" x14ac:dyDescent="0.2">
      <c r="B14" s="12"/>
      <c r="C14" s="12" t="s">
        <v>393</v>
      </c>
      <c r="D14" s="838"/>
      <c r="E14" s="839"/>
      <c r="F14" s="838"/>
      <c r="G14" s="103">
        <v>86</v>
      </c>
      <c r="H14" s="838"/>
      <c r="I14" s="165"/>
      <c r="J14" s="213"/>
      <c r="K14" s="103"/>
      <c r="L14" s="213"/>
      <c r="M14" s="840"/>
      <c r="N14" s="840"/>
      <c r="O14" s="840"/>
      <c r="P14" s="840"/>
      <c r="Q14" s="1620"/>
      <c r="R14" s="1621"/>
      <c r="S14" s="840"/>
    </row>
    <row r="15" spans="2:19" x14ac:dyDescent="0.2">
      <c r="B15" s="12" t="s">
        <v>380</v>
      </c>
      <c r="C15" s="12" t="s">
        <v>69</v>
      </c>
      <c r="D15" s="838">
        <v>42</v>
      </c>
      <c r="E15" s="839">
        <v>84</v>
      </c>
      <c r="F15" s="838">
        <v>42</v>
      </c>
      <c r="G15" s="103">
        <v>84</v>
      </c>
      <c r="H15" s="838">
        <v>48</v>
      </c>
      <c r="I15" s="165">
        <v>96</v>
      </c>
      <c r="J15" s="213">
        <v>96</v>
      </c>
      <c r="K15" s="103">
        <v>96</v>
      </c>
      <c r="L15" s="213">
        <v>82</v>
      </c>
      <c r="M15" s="840">
        <v>48</v>
      </c>
      <c r="N15" s="840"/>
      <c r="O15" s="840">
        <v>60</v>
      </c>
      <c r="P15" s="840">
        <v>48</v>
      </c>
      <c r="Q15" s="1620"/>
      <c r="R15" s="1621"/>
      <c r="S15" s="840"/>
    </row>
    <row r="16" spans="2:19" x14ac:dyDescent="0.2">
      <c r="B16" s="12" t="s">
        <v>380</v>
      </c>
      <c r="C16" s="12" t="s">
        <v>766</v>
      </c>
      <c r="D16" s="838">
        <v>32</v>
      </c>
      <c r="E16" s="839">
        <v>49.21</v>
      </c>
      <c r="F16" s="838">
        <v>30</v>
      </c>
      <c r="G16" s="103">
        <v>29.58</v>
      </c>
      <c r="H16" s="838">
        <v>32</v>
      </c>
      <c r="I16" s="165">
        <v>44.42</v>
      </c>
      <c r="J16" s="213">
        <v>45</v>
      </c>
      <c r="K16" s="103">
        <v>29.47</v>
      </c>
      <c r="L16" s="213"/>
      <c r="M16" s="840">
        <v>39.97</v>
      </c>
      <c r="N16" s="840"/>
      <c r="O16" s="840">
        <f>48-28.06</f>
        <v>19.940000000000001</v>
      </c>
      <c r="P16" s="840">
        <v>26.58</v>
      </c>
      <c r="Q16" s="1620"/>
      <c r="R16" s="1621"/>
      <c r="S16" s="840"/>
    </row>
    <row r="17" spans="2:19" x14ac:dyDescent="0.2">
      <c r="B17" s="12"/>
      <c r="C17" s="12" t="s">
        <v>546</v>
      </c>
      <c r="D17" s="838"/>
      <c r="E17" s="839"/>
      <c r="F17" s="838"/>
      <c r="G17" s="103"/>
      <c r="H17" s="838"/>
      <c r="I17" s="165"/>
      <c r="J17" s="213"/>
      <c r="K17" s="103">
        <v>16</v>
      </c>
      <c r="L17" s="213"/>
      <c r="M17" s="840"/>
      <c r="N17" s="840"/>
      <c r="O17" s="840"/>
      <c r="P17" s="840"/>
      <c r="Q17" s="1620"/>
      <c r="R17" s="1621"/>
      <c r="S17" s="840"/>
    </row>
    <row r="18" spans="2:19" x14ac:dyDescent="0.2">
      <c r="B18" s="12"/>
      <c r="C18" s="12" t="s">
        <v>1060</v>
      </c>
      <c r="D18" s="838"/>
      <c r="E18" s="839"/>
      <c r="F18" s="838"/>
      <c r="G18" s="103"/>
      <c r="H18" s="838"/>
      <c r="I18" s="165"/>
      <c r="J18" s="213"/>
      <c r="K18" s="993"/>
      <c r="L18" s="213"/>
      <c r="M18" s="840"/>
      <c r="N18" s="840"/>
      <c r="O18" s="840"/>
      <c r="P18" s="840">
        <v>-17.14</v>
      </c>
      <c r="Q18" s="1620"/>
      <c r="R18" s="1621"/>
      <c r="S18" s="840"/>
    </row>
    <row r="19" spans="2:19" x14ac:dyDescent="0.2">
      <c r="B19" s="12"/>
      <c r="C19" s="12"/>
      <c r="D19" s="838"/>
      <c r="E19" s="839"/>
      <c r="F19" s="838"/>
      <c r="G19" s="103"/>
      <c r="H19" s="838"/>
      <c r="I19" s="165"/>
      <c r="J19" s="213"/>
      <c r="K19" s="993"/>
      <c r="L19" s="213"/>
      <c r="M19" s="840"/>
      <c r="N19" s="840"/>
      <c r="O19" s="840"/>
      <c r="P19" s="840"/>
      <c r="Q19" s="1620"/>
      <c r="R19" s="1212"/>
      <c r="S19" s="840"/>
    </row>
    <row r="20" spans="2:19" x14ac:dyDescent="0.2">
      <c r="B20" s="1217">
        <v>45411</v>
      </c>
      <c r="C20" s="1343" t="s">
        <v>1120</v>
      </c>
      <c r="D20" s="838"/>
      <c r="E20" s="839"/>
      <c r="F20" s="838"/>
      <c r="G20" s="103"/>
      <c r="H20" s="838"/>
      <c r="I20" s="165"/>
      <c r="J20" s="213"/>
      <c r="K20" s="993"/>
      <c r="L20" s="213"/>
      <c r="M20" s="840"/>
      <c r="N20" s="840"/>
      <c r="O20" s="840"/>
      <c r="P20" s="840"/>
      <c r="Q20" s="1620"/>
      <c r="R20" s="1215">
        <v>8</v>
      </c>
      <c r="S20" s="840"/>
    </row>
    <row r="21" spans="2:19" x14ac:dyDescent="0.2">
      <c r="B21" s="1218">
        <v>45433</v>
      </c>
      <c r="C21" s="1344" t="s">
        <v>1121</v>
      </c>
      <c r="D21" s="838"/>
      <c r="E21" s="839"/>
      <c r="F21" s="838"/>
      <c r="G21" s="103"/>
      <c r="H21" s="838"/>
      <c r="I21" s="165"/>
      <c r="J21" s="213"/>
      <c r="K21" s="993"/>
      <c r="L21" s="213"/>
      <c r="M21" s="840"/>
      <c r="N21" s="840"/>
      <c r="O21" s="840"/>
      <c r="P21" s="840"/>
      <c r="Q21" s="1620"/>
      <c r="R21" s="1216">
        <v>156</v>
      </c>
      <c r="S21" s="840"/>
    </row>
    <row r="22" spans="2:19" x14ac:dyDescent="0.2">
      <c r="B22" s="1217">
        <v>45434</v>
      </c>
      <c r="C22" s="1343" t="s">
        <v>1122</v>
      </c>
      <c r="D22" s="838"/>
      <c r="E22" s="839"/>
      <c r="F22" s="838"/>
      <c r="G22" s="103"/>
      <c r="H22" s="838"/>
      <c r="I22" s="165"/>
      <c r="J22" s="213"/>
      <c r="K22" s="993"/>
      <c r="L22" s="213"/>
      <c r="M22" s="840"/>
      <c r="N22" s="840"/>
      <c r="O22" s="840"/>
      <c r="P22" s="840"/>
      <c r="Q22" s="1620"/>
      <c r="R22" s="1215">
        <v>-33</v>
      </c>
      <c r="S22" s="840"/>
    </row>
    <row r="23" spans="2:19" x14ac:dyDescent="0.2">
      <c r="B23" s="1218">
        <v>45462</v>
      </c>
      <c r="C23" s="1344" t="s">
        <v>1123</v>
      </c>
      <c r="D23" s="838"/>
      <c r="E23" s="839"/>
      <c r="F23" s="838"/>
      <c r="G23" s="103"/>
      <c r="H23" s="838"/>
      <c r="I23" s="165"/>
      <c r="J23" s="213"/>
      <c r="K23" s="993"/>
      <c r="L23" s="213"/>
      <c r="M23" s="840"/>
      <c r="N23" s="840"/>
      <c r="O23" s="840"/>
      <c r="P23" s="840"/>
      <c r="Q23" s="1620"/>
      <c r="R23" s="1216">
        <v>-8.3699999999999992</v>
      </c>
      <c r="S23" s="840"/>
    </row>
    <row r="24" spans="2:19" x14ac:dyDescent="0.2">
      <c r="B24" s="1217">
        <v>45471</v>
      </c>
      <c r="C24" s="1343" t="s">
        <v>1124</v>
      </c>
      <c r="D24" s="838"/>
      <c r="E24" s="839"/>
      <c r="F24" s="838"/>
      <c r="G24" s="103"/>
      <c r="H24" s="838"/>
      <c r="I24" s="165"/>
      <c r="J24" s="213"/>
      <c r="K24" s="993"/>
      <c r="L24" s="213"/>
      <c r="M24" s="840"/>
      <c r="N24" s="840"/>
      <c r="O24" s="840"/>
      <c r="P24" s="840"/>
      <c r="Q24" s="1620"/>
      <c r="R24" s="1215">
        <v>-4</v>
      </c>
      <c r="S24" s="840"/>
    </row>
    <row r="25" spans="2:19" x14ac:dyDescent="0.2">
      <c r="B25" s="1218">
        <v>45471</v>
      </c>
      <c r="C25" s="1344" t="s">
        <v>1125</v>
      </c>
      <c r="D25" s="838"/>
      <c r="E25" s="839"/>
      <c r="F25" s="838"/>
      <c r="G25" s="103"/>
      <c r="H25" s="838"/>
      <c r="I25" s="165"/>
      <c r="J25" s="213"/>
      <c r="K25" s="993"/>
      <c r="L25" s="213"/>
      <c r="M25" s="840"/>
      <c r="N25" s="840"/>
      <c r="O25" s="840"/>
      <c r="P25" s="840"/>
      <c r="Q25" s="1620"/>
      <c r="R25" s="1216">
        <v>4</v>
      </c>
      <c r="S25" s="840"/>
    </row>
    <row r="26" spans="2:19" x14ac:dyDescent="0.2">
      <c r="B26" s="1217">
        <v>45471</v>
      </c>
      <c r="C26" s="1343" t="s">
        <v>1126</v>
      </c>
      <c r="D26" s="838"/>
      <c r="E26" s="839"/>
      <c r="F26" s="838"/>
      <c r="G26" s="103"/>
      <c r="H26" s="838"/>
      <c r="I26" s="165"/>
      <c r="J26" s="213"/>
      <c r="K26" s="993"/>
      <c r="L26" s="213"/>
      <c r="M26" s="840"/>
      <c r="N26" s="840"/>
      <c r="O26" s="840"/>
      <c r="P26" s="840"/>
      <c r="Q26" s="1620"/>
      <c r="R26" s="1215">
        <v>48</v>
      </c>
      <c r="S26" s="840"/>
    </row>
    <row r="27" spans="2:19" x14ac:dyDescent="0.2">
      <c r="B27" s="1218">
        <v>45495</v>
      </c>
      <c r="C27" s="1344" t="s">
        <v>1127</v>
      </c>
      <c r="D27" s="838"/>
      <c r="E27" s="839"/>
      <c r="F27" s="838"/>
      <c r="G27" s="103"/>
      <c r="H27" s="838"/>
      <c r="I27" s="165"/>
      <c r="J27" s="213"/>
      <c r="K27" s="993"/>
      <c r="L27" s="213"/>
      <c r="M27" s="840"/>
      <c r="N27" s="840"/>
      <c r="O27" s="840"/>
      <c r="P27" s="840"/>
      <c r="Q27" s="1620"/>
      <c r="R27" s="1216">
        <v>48</v>
      </c>
      <c r="S27" s="840"/>
    </row>
    <row r="28" spans="2:19" x14ac:dyDescent="0.2">
      <c r="B28" s="1217">
        <v>45526</v>
      </c>
      <c r="C28" s="1343" t="s">
        <v>1128</v>
      </c>
      <c r="D28" s="838"/>
      <c r="E28" s="839"/>
      <c r="F28" s="838"/>
      <c r="G28" s="103"/>
      <c r="H28" s="838"/>
      <c r="I28" s="165"/>
      <c r="J28" s="213"/>
      <c r="K28" s="993"/>
      <c r="L28" s="213"/>
      <c r="M28" s="840"/>
      <c r="N28" s="840"/>
      <c r="O28" s="840"/>
      <c r="P28" s="840"/>
      <c r="Q28" s="1620"/>
      <c r="R28" s="1215">
        <v>15</v>
      </c>
      <c r="S28" s="840"/>
    </row>
    <row r="29" spans="2:19" x14ac:dyDescent="0.2">
      <c r="B29" s="1218">
        <v>45526</v>
      </c>
      <c r="C29" s="1344" t="s">
        <v>1129</v>
      </c>
      <c r="D29" s="838"/>
      <c r="E29" s="839"/>
      <c r="F29" s="838"/>
      <c r="G29" s="103"/>
      <c r="H29" s="838"/>
      <c r="I29" s="165"/>
      <c r="J29" s="213"/>
      <c r="K29" s="310"/>
      <c r="L29" s="213"/>
      <c r="M29" s="840"/>
      <c r="N29" s="840"/>
      <c r="O29" s="840"/>
      <c r="P29" s="840"/>
      <c r="Q29" s="1620"/>
      <c r="R29" s="1216">
        <v>36</v>
      </c>
      <c r="S29" s="840"/>
    </row>
    <row r="30" spans="2:19" x14ac:dyDescent="0.2">
      <c r="B30" s="1217">
        <v>45535</v>
      </c>
      <c r="C30" s="1343" t="s">
        <v>1130</v>
      </c>
      <c r="D30" s="838"/>
      <c r="E30" s="839"/>
      <c r="F30" s="838"/>
      <c r="G30" s="103"/>
      <c r="H30" s="838"/>
      <c r="I30" s="165"/>
      <c r="J30" s="213"/>
      <c r="K30" s="310"/>
      <c r="L30" s="213"/>
      <c r="M30" s="840"/>
      <c r="N30" s="840"/>
      <c r="O30" s="840"/>
      <c r="P30" s="840"/>
      <c r="Q30" s="1620"/>
      <c r="R30" s="1215">
        <v>48</v>
      </c>
      <c r="S30" s="840"/>
    </row>
    <row r="31" spans="2:19" x14ac:dyDescent="0.2">
      <c r="B31" s="12"/>
      <c r="C31" s="337" t="s">
        <v>1081</v>
      </c>
      <c r="D31" s="838"/>
      <c r="E31" s="839"/>
      <c r="F31" s="838"/>
      <c r="G31" s="103"/>
      <c r="H31" s="838"/>
      <c r="I31" s="165"/>
      <c r="J31" s="213"/>
      <c r="K31" s="310"/>
      <c r="L31" s="213"/>
      <c r="M31" s="840"/>
      <c r="N31" s="840"/>
      <c r="O31" s="840"/>
      <c r="P31" s="840"/>
      <c r="Q31" s="1620">
        <v>320</v>
      </c>
      <c r="R31" s="1213"/>
      <c r="S31" s="1211">
        <v>350</v>
      </c>
    </row>
    <row r="32" spans="2:19" ht="16" thickBot="1" x14ac:dyDescent="0.25">
      <c r="B32" s="60"/>
      <c r="C32" s="60"/>
      <c r="D32" s="841"/>
      <c r="E32" s="842">
        <f>SUM(E5:E31)</f>
        <v>395.92</v>
      </c>
      <c r="F32" s="841"/>
      <c r="G32" s="843">
        <f>SUM(G5:G31)</f>
        <v>658.80000000000007</v>
      </c>
      <c r="H32" s="841"/>
      <c r="I32" s="844">
        <f t="shared" ref="I32:S32" si="0">SUM(I5:I31)</f>
        <v>471.12</v>
      </c>
      <c r="J32" s="667">
        <f t="shared" si="0"/>
        <v>477</v>
      </c>
      <c r="K32" s="187">
        <f t="shared" si="0"/>
        <v>472.90999999999997</v>
      </c>
      <c r="L32" s="667">
        <f t="shared" si="0"/>
        <v>372</v>
      </c>
      <c r="M32" s="667">
        <f t="shared" si="0"/>
        <v>323.74</v>
      </c>
      <c r="N32" s="667">
        <f t="shared" si="0"/>
        <v>0</v>
      </c>
      <c r="O32" s="667">
        <f t="shared" si="0"/>
        <v>264.84000000000003</v>
      </c>
      <c r="P32" s="667">
        <f t="shared" si="0"/>
        <v>277.22999999999996</v>
      </c>
      <c r="Q32" s="1071">
        <f t="shared" si="0"/>
        <v>320</v>
      </c>
      <c r="R32" s="1214">
        <f t="shared" si="0"/>
        <v>317.63</v>
      </c>
      <c r="S32" s="862">
        <f t="shared" si="0"/>
        <v>350</v>
      </c>
    </row>
    <row r="33" ht="16" thickTop="1" x14ac:dyDescent="0.2"/>
  </sheetData>
  <mergeCells count="5">
    <mergeCell ref="B1:S1"/>
    <mergeCell ref="F4:G4"/>
    <mergeCell ref="H4:I4"/>
    <mergeCell ref="B2:S2"/>
    <mergeCell ref="D3:R3"/>
  </mergeCells>
  <conditionalFormatting sqref="B1">
    <cfRule type="cellIs" dxfId="131" priority="2" operator="equal">
      <formula>0</formula>
    </cfRule>
  </conditionalFormatting>
  <hyperlinks>
    <hyperlink ref="B1" location="Summary!A1" display="Summary!A1" xr:uid="{4D670371-F402-45AA-91C4-D1D1470FB46E}"/>
    <hyperlink ref="S32" location="Summary!T18" display="Summary!T18" xr:uid="{AB094912-CFA4-47BD-81C3-9173D0A1267D}"/>
  </hyperlink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52</vt:i4>
      </vt:variant>
      <vt:variant>
        <vt:lpstr>Named Ranges</vt:lpstr>
      </vt:variant>
      <vt:variant>
        <vt:i4>55</vt:i4>
      </vt:variant>
    </vt:vector>
  </HeadingPairs>
  <TitlesOfParts>
    <vt:vector size="107" baseType="lpstr">
      <vt:lpstr>Summary</vt:lpstr>
      <vt:lpstr>Est Bank Balances</vt:lpstr>
      <vt:lpstr>Condensed Summary</vt:lpstr>
      <vt:lpstr>Capital Equipment</vt:lpstr>
      <vt:lpstr>Summary for Committee</vt:lpstr>
      <vt:lpstr>03-05 Subs &amp; Joining Fee</vt:lpstr>
      <vt:lpstr>06 Rink Fees</vt:lpstr>
      <vt:lpstr>07 Home Game Raffles</vt:lpstr>
      <vt:lpstr>08 Bowls Events</vt:lpstr>
      <vt:lpstr>09 Competition Fees</vt:lpstr>
      <vt:lpstr>10 Spring Triples</vt:lpstr>
      <vt:lpstr>11 Green Maintenance</vt:lpstr>
      <vt:lpstr>12 Green Rent</vt:lpstr>
      <vt:lpstr>13 Equip Maintenance &amp; Petrol</vt:lpstr>
      <vt:lpstr>14 New Equipment</vt:lpstr>
      <vt:lpstr>15 Bowls Equipment</vt:lpstr>
      <vt:lpstr>16 Trophies &amp; Prizes</vt:lpstr>
      <vt:lpstr>17 League Fees</vt:lpstr>
      <vt:lpstr>18 Raffle Prizes</vt:lpstr>
      <vt:lpstr>19 Sprinkler System</vt:lpstr>
      <vt:lpstr>20 Annual Dinner</vt:lpstr>
      <vt:lpstr>21 Plant Sale</vt:lpstr>
      <vt:lpstr>22 Quiz Nights</vt:lpstr>
      <vt:lpstr>23 Race Night</vt:lpstr>
      <vt:lpstr>24 Social Events - Other</vt:lpstr>
      <vt:lpstr>25 Sale of Books &amp; Noteletts</vt:lpstr>
      <vt:lpstr>27 LAV</vt:lpstr>
      <vt:lpstr>26 100 Quiz</vt:lpstr>
      <vt:lpstr>28 Insurance</vt:lpstr>
      <vt:lpstr>29 Electricity</vt:lpstr>
      <vt:lpstr>30 Hire of Hall</vt:lpstr>
      <vt:lpstr>31 Security</vt:lpstr>
      <vt:lpstr>32 General Maintenance</vt:lpstr>
      <vt:lpstr>33 Water</vt:lpstr>
      <vt:lpstr>34 Waste Disposal</vt:lpstr>
      <vt:lpstr>35 Marque</vt:lpstr>
      <vt:lpstr>36 General Catering</vt:lpstr>
      <vt:lpstr>37 General Stationery</vt:lpstr>
      <vt:lpstr>38 Website Domain &amp; Hosting</vt:lpstr>
      <vt:lpstr>39 Misc Expenses</vt:lpstr>
      <vt:lpstr>40 Health &amp; Safety</vt:lpstr>
      <vt:lpstr>41 Memorial Benches</vt:lpstr>
      <vt:lpstr>42 Petty Cash</vt:lpstr>
      <vt:lpstr>43 New Tea Room</vt:lpstr>
      <vt:lpstr>43a New Store Building</vt:lpstr>
      <vt:lpstr>44 Bank Charges</vt:lpstr>
      <vt:lpstr>45 Donations</vt:lpstr>
      <vt:lpstr>46 Misc Income</vt:lpstr>
      <vt:lpstr>47 Grants</vt:lpstr>
      <vt:lpstr>48 Charity Event and Donation</vt:lpstr>
      <vt:lpstr>49 Yorkshire Savings</vt:lpstr>
      <vt:lpstr>51 Depreciation</vt:lpstr>
      <vt:lpstr>'03-05 Subs &amp; Joining Fee'!Print_Area</vt:lpstr>
      <vt:lpstr>'06 Rink Fees'!Print_Area</vt:lpstr>
      <vt:lpstr>'07 Home Game Raffles'!Print_Area</vt:lpstr>
      <vt:lpstr>'08 Bowls Events'!Print_Area</vt:lpstr>
      <vt:lpstr>'09 Competition Fees'!Print_Area</vt:lpstr>
      <vt:lpstr>'10 Spring Triples'!Print_Area</vt:lpstr>
      <vt:lpstr>'11 Green Maintenance'!Print_Area</vt:lpstr>
      <vt:lpstr>'12 Green Rent'!Print_Area</vt:lpstr>
      <vt:lpstr>'13 Equip Maintenance &amp; Petrol'!Print_Area</vt:lpstr>
      <vt:lpstr>'14 New Equipment'!Print_Area</vt:lpstr>
      <vt:lpstr>'15 Bowls Equipment'!Print_Area</vt:lpstr>
      <vt:lpstr>'16 Trophies &amp; Prizes'!Print_Area</vt:lpstr>
      <vt:lpstr>'17 League Fees'!Print_Area</vt:lpstr>
      <vt:lpstr>'18 Raffle Prizes'!Print_Area</vt:lpstr>
      <vt:lpstr>'19 Sprinkler System'!Print_Area</vt:lpstr>
      <vt:lpstr>'20 Annual Dinner'!Print_Area</vt:lpstr>
      <vt:lpstr>'21 Plant Sale'!Print_Area</vt:lpstr>
      <vt:lpstr>'22 Quiz Nights'!Print_Area</vt:lpstr>
      <vt:lpstr>'23 Race Night'!Print_Area</vt:lpstr>
      <vt:lpstr>'24 Social Events - Other'!Print_Area</vt:lpstr>
      <vt:lpstr>'25 Sale of Books &amp; Noteletts'!Print_Area</vt:lpstr>
      <vt:lpstr>'26 100 Quiz'!Print_Area</vt:lpstr>
      <vt:lpstr>'27 LAV'!Print_Area</vt:lpstr>
      <vt:lpstr>'28 Insurance'!Print_Area</vt:lpstr>
      <vt:lpstr>'29 Electricity'!Print_Area</vt:lpstr>
      <vt:lpstr>'30 Hire of Hall'!Print_Area</vt:lpstr>
      <vt:lpstr>'31 Security'!Print_Area</vt:lpstr>
      <vt:lpstr>'32 General Maintenance'!Print_Area</vt:lpstr>
      <vt:lpstr>'33 Water'!Print_Area</vt:lpstr>
      <vt:lpstr>'34 Waste Disposal'!Print_Area</vt:lpstr>
      <vt:lpstr>'35 Marque'!Print_Area</vt:lpstr>
      <vt:lpstr>'36 General Catering'!Print_Area</vt:lpstr>
      <vt:lpstr>'37 General Stationery'!Print_Area</vt:lpstr>
      <vt:lpstr>'38 Website Domain &amp; Hosting'!Print_Area</vt:lpstr>
      <vt:lpstr>'39 Misc Expenses'!Print_Area</vt:lpstr>
      <vt:lpstr>'40 Health &amp; Safety'!Print_Area</vt:lpstr>
      <vt:lpstr>'41 Memorial Benches'!Print_Area</vt:lpstr>
      <vt:lpstr>'42 Petty Cash'!Print_Area</vt:lpstr>
      <vt:lpstr>'43 New Tea Room'!Print_Area</vt:lpstr>
      <vt:lpstr>'43a New Store Building'!Print_Area</vt:lpstr>
      <vt:lpstr>'44 Bank Charges'!Print_Area</vt:lpstr>
      <vt:lpstr>'45 Donations'!Print_Area</vt:lpstr>
      <vt:lpstr>'46 Misc Income'!Print_Area</vt:lpstr>
      <vt:lpstr>'47 Grants'!Print_Area</vt:lpstr>
      <vt:lpstr>'48 Charity Event and Donation'!Print_Area</vt:lpstr>
      <vt:lpstr>'49 Yorkshire Savings'!Print_Area</vt:lpstr>
      <vt:lpstr>'51 Depreciation'!Print_Area</vt:lpstr>
      <vt:lpstr>'Capital Equipment'!Print_Area</vt:lpstr>
      <vt:lpstr>'Condensed Summary'!Print_Area</vt:lpstr>
      <vt:lpstr>'Est Bank Balances'!Print_Area</vt:lpstr>
      <vt:lpstr>Summary!Print_Area</vt:lpstr>
      <vt:lpstr>'Summary for Committee'!Print_Area</vt:lpstr>
      <vt:lpstr>'03-05 Subs &amp; Joining Fee'!Print_Titles</vt:lpstr>
      <vt:lpstr>Summary!Print_Titles</vt:lpstr>
      <vt:lpstr>'Summary for Committee'!Print_Titles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&amp; Richard Jay</dc:creator>
  <cp:lastModifiedBy>Richard Jay</cp:lastModifiedBy>
  <cp:lastPrinted>2025-01-07T15:07:24Z</cp:lastPrinted>
  <dcterms:created xsi:type="dcterms:W3CDTF">2016-11-14T17:36:20Z</dcterms:created>
  <dcterms:modified xsi:type="dcterms:W3CDTF">2026-01-06T14:23:02Z</dcterms:modified>
</cp:coreProperties>
</file>